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2.xml" ContentType="application/vnd.ms-office.chartstyle+xml"/>
  <Override PartName="/xl/charts/colors2.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energetskiinstituth.sharepoint.com/sites/GreetGEO/Shared Documents/54 WP4 Investment/3 Deliverables/D4.2 Exploitation plan/Waste Heat Financial Model/"/>
    </mc:Choice>
  </mc:AlternateContent>
  <xr:revisionPtr revIDLastSave="0" documentId="8_{15301EBF-3BB6-4EB8-9463-43322B81F18A}" xr6:coauthVersionLast="47" xr6:coauthVersionMax="47" xr10:uidLastSave="{00000000-0000-0000-0000-000000000000}"/>
  <bookViews>
    <workbookView xWindow="-98" yWindow="-98" windowWidth="19396" windowHeight="10996" tabRatio="500" firstSheet="2" activeTab="2" xr2:uid="{00000000-000D-0000-FFFF-FFFF00000000}"/>
  </bookViews>
  <sheets>
    <sheet name="Cover" sheetId="14" r:id="rId1"/>
    <sheet name="Disclaimer" sheetId="16" r:id="rId2"/>
    <sheet name="README" sheetId="17" r:id="rId3"/>
    <sheet name="Control Panel" sheetId="1" r:id="rId4"/>
    <sheet name="Inputs" sheetId="2" r:id="rId5"/>
    <sheet name="Parameters" sheetId="3" state="veryHidden" r:id="rId6"/>
    <sheet name="Inputs_Dynamic" sheetId="6" state="veryHidden" r:id="rId7"/>
    <sheet name="Dates" sheetId="4" state="veryHidden" r:id="rId8"/>
    <sheet name="Timing" sheetId="5" state="veryHidden" r:id="rId9"/>
    <sheet name="Construction" sheetId="7" state="veryHidden" r:id="rId10"/>
    <sheet name="Operations" sheetId="8" state="veryHidden" r:id="rId11"/>
    <sheet name="Financing" sheetId="9" state="veryHidden" r:id="rId12"/>
    <sheet name="Depreciation" sheetId="10" state="veryHidden" r:id="rId13"/>
    <sheet name="Tax" sheetId="11" state="veryHidden" r:id="rId14"/>
    <sheet name="FS" sheetId="12" r:id="rId15"/>
    <sheet name="Dashboard" sheetId="13" r:id="rId16"/>
  </sheets>
  <externalReferences>
    <externalReference r:id="rId17"/>
  </externalReferences>
  <definedNames>
    <definedName name="Amount_Copy">[1]Financing!$J$79</definedName>
    <definedName name="Amount_Paste">[1]Financing!$J$77</definedName>
    <definedName name="Check_Amount">[1]Financing!$J$80</definedName>
    <definedName name="CountryList">Parameters!$C$59:$C$84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l="1"/>
  <c r="D24" i="1"/>
  <c r="G193" i="2"/>
  <c r="F193" i="2"/>
  <c r="E193" i="2"/>
  <c r="D9" i="1"/>
  <c r="J12" i="14"/>
  <c r="D3" i="7" l="1"/>
  <c r="D3" i="8"/>
  <c r="D3" i="9"/>
  <c r="D3" i="10"/>
  <c r="D3" i="11"/>
  <c r="D3" i="13"/>
  <c r="D3" i="12"/>
  <c r="K92" i="12"/>
  <c r="AF84" i="12"/>
  <c r="AE84" i="12"/>
  <c r="AD84" i="12"/>
  <c r="AC84" i="12"/>
  <c r="AB84" i="12"/>
  <c r="AA84" i="12"/>
  <c r="Z84" i="12"/>
  <c r="Y84" i="12"/>
  <c r="X84" i="12"/>
  <c r="W84" i="12"/>
  <c r="V84" i="12"/>
  <c r="U84" i="12"/>
  <c r="T84" i="12"/>
  <c r="S84" i="12"/>
  <c r="R84" i="12"/>
  <c r="Q84" i="12"/>
  <c r="P84" i="12"/>
  <c r="O84" i="12"/>
  <c r="N84" i="12"/>
  <c r="M84" i="12"/>
  <c r="L84" i="12"/>
  <c r="K84" i="12"/>
  <c r="AG43" i="12"/>
  <c r="AF43" i="12"/>
  <c r="AE43" i="12"/>
  <c r="AD43" i="12"/>
  <c r="AC43" i="12"/>
  <c r="AB43" i="12"/>
  <c r="AA43" i="12"/>
  <c r="Z43" i="12"/>
  <c r="Y43" i="12"/>
  <c r="X43" i="12"/>
  <c r="W43" i="12"/>
  <c r="V43" i="12"/>
  <c r="U43" i="12"/>
  <c r="T43" i="12"/>
  <c r="S43" i="12"/>
  <c r="R43" i="12"/>
  <c r="Q43" i="12"/>
  <c r="P43" i="12"/>
  <c r="O43" i="12"/>
  <c r="N43" i="12"/>
  <c r="M43" i="12"/>
  <c r="L43" i="12"/>
  <c r="K43" i="12"/>
  <c r="K41" i="12"/>
  <c r="K109" i="8"/>
  <c r="I54" i="7"/>
  <c r="AE55" i="7" s="1"/>
  <c r="H24" i="6"/>
  <c r="T9" i="6"/>
  <c r="U9" i="6" s="1"/>
  <c r="T8" i="6"/>
  <c r="U8" i="6" s="1"/>
  <c r="T7" i="6"/>
  <c r="U7" i="6" s="1"/>
  <c r="B4" i="6"/>
  <c r="O8" i="4"/>
  <c r="O8" i="5" s="1"/>
  <c r="B4" i="3"/>
  <c r="B17" i="3" s="1"/>
  <c r="G187" i="2"/>
  <c r="F187" i="2"/>
  <c r="E187" i="2"/>
  <c r="G186" i="2"/>
  <c r="F186" i="2"/>
  <c r="E186" i="2"/>
  <c r="G185" i="2"/>
  <c r="F185" i="2"/>
  <c r="E185" i="2"/>
  <c r="G184" i="2"/>
  <c r="F184" i="2"/>
  <c r="E184" i="2"/>
  <c r="G181" i="2"/>
  <c r="F181" i="2"/>
  <c r="E181" i="2"/>
  <c r="G176" i="2"/>
  <c r="F176" i="2"/>
  <c r="E176" i="2"/>
  <c r="G174" i="2"/>
  <c r="F174" i="2"/>
  <c r="E174" i="2"/>
  <c r="G171" i="2"/>
  <c r="F171" i="2"/>
  <c r="E171" i="2"/>
  <c r="G170" i="2"/>
  <c r="F170" i="2"/>
  <c r="E170" i="2"/>
  <c r="G168" i="2"/>
  <c r="F168" i="2"/>
  <c r="E168" i="2"/>
  <c r="G167" i="2"/>
  <c r="F167" i="2"/>
  <c r="E167" i="2"/>
  <c r="G166" i="2"/>
  <c r="F166" i="2"/>
  <c r="E166" i="2"/>
  <c r="G164" i="2"/>
  <c r="F164" i="2"/>
  <c r="E164" i="2"/>
  <c r="G163" i="2"/>
  <c r="F163" i="2"/>
  <c r="E163" i="2"/>
  <c r="G162" i="2"/>
  <c r="F162" i="2"/>
  <c r="E162" i="2"/>
  <c r="G161" i="2"/>
  <c r="F161" i="2"/>
  <c r="E161" i="2"/>
  <c r="G160" i="2"/>
  <c r="F160" i="2"/>
  <c r="E160" i="2"/>
  <c r="G159" i="2"/>
  <c r="F159" i="2"/>
  <c r="E159" i="2"/>
  <c r="G156" i="2"/>
  <c r="F156" i="2"/>
  <c r="E156" i="2"/>
  <c r="G155" i="2"/>
  <c r="F155" i="2"/>
  <c r="E155" i="2"/>
  <c r="G147" i="2"/>
  <c r="F147" i="2"/>
  <c r="E147" i="2"/>
  <c r="G146" i="2"/>
  <c r="F146" i="2"/>
  <c r="E146" i="2"/>
  <c r="G145" i="2"/>
  <c r="F145" i="2"/>
  <c r="E145" i="2"/>
  <c r="G144" i="2"/>
  <c r="F144" i="2"/>
  <c r="E144" i="2"/>
  <c r="G141" i="2"/>
  <c r="F141" i="2"/>
  <c r="E141" i="2"/>
  <c r="G140" i="2"/>
  <c r="F140" i="2"/>
  <c r="E140" i="2"/>
  <c r="G139" i="2"/>
  <c r="F139" i="2"/>
  <c r="E139" i="2"/>
  <c r="G132" i="2"/>
  <c r="F132" i="2"/>
  <c r="E132" i="2"/>
  <c r="G131" i="2"/>
  <c r="F131" i="2"/>
  <c r="E131" i="2"/>
  <c r="G130" i="2"/>
  <c r="F130" i="2"/>
  <c r="E130" i="2"/>
  <c r="G129" i="2"/>
  <c r="F129" i="2"/>
  <c r="E129" i="2"/>
  <c r="G128" i="2"/>
  <c r="F128" i="2"/>
  <c r="E128" i="2"/>
  <c r="G127" i="2"/>
  <c r="F127" i="2"/>
  <c r="E127" i="2"/>
  <c r="G126" i="2"/>
  <c r="F126" i="2"/>
  <c r="E126" i="2"/>
  <c r="G125" i="2"/>
  <c r="F125" i="2"/>
  <c r="E125" i="2"/>
  <c r="G119" i="2"/>
  <c r="F119" i="2"/>
  <c r="E119" i="2"/>
  <c r="G118" i="2"/>
  <c r="F118" i="2"/>
  <c r="E118" i="2"/>
  <c r="G117" i="2"/>
  <c r="F117" i="2"/>
  <c r="E117" i="2"/>
  <c r="G111" i="2"/>
  <c r="F111" i="2"/>
  <c r="E111" i="2"/>
  <c r="G110" i="2"/>
  <c r="F110" i="2"/>
  <c r="E110" i="2"/>
  <c r="G109" i="2"/>
  <c r="F109" i="2"/>
  <c r="E109" i="2"/>
  <c r="G107" i="2"/>
  <c r="F107" i="2"/>
  <c r="E107" i="2"/>
  <c r="G106" i="2"/>
  <c r="F106" i="2"/>
  <c r="E106" i="2"/>
  <c r="G104" i="2"/>
  <c r="F104" i="2"/>
  <c r="E104" i="2"/>
  <c r="G98" i="2"/>
  <c r="F98" i="2"/>
  <c r="E98" i="2"/>
  <c r="G97" i="2"/>
  <c r="F97" i="2"/>
  <c r="E97" i="2"/>
  <c r="G96" i="2"/>
  <c r="F96" i="2"/>
  <c r="E96" i="2"/>
  <c r="G92" i="2"/>
  <c r="F92" i="2"/>
  <c r="E92" i="2"/>
  <c r="G91" i="2"/>
  <c r="F91" i="2"/>
  <c r="E91" i="2"/>
  <c r="G90" i="2"/>
  <c r="F90" i="2"/>
  <c r="E90" i="2"/>
  <c r="G89" i="2"/>
  <c r="F89" i="2"/>
  <c r="E89" i="2"/>
  <c r="G88" i="2"/>
  <c r="F88" i="2"/>
  <c r="E88" i="2"/>
  <c r="G82" i="2"/>
  <c r="F82" i="2"/>
  <c r="E82" i="2"/>
  <c r="G81" i="2"/>
  <c r="F81" i="2"/>
  <c r="E81" i="2"/>
  <c r="G80" i="2"/>
  <c r="F80" i="2"/>
  <c r="E80" i="2"/>
  <c r="G79" i="2"/>
  <c r="F79" i="2"/>
  <c r="E79" i="2"/>
  <c r="G78" i="2"/>
  <c r="F78" i="2"/>
  <c r="E78" i="2"/>
  <c r="G76" i="2"/>
  <c r="F76" i="2"/>
  <c r="E76" i="2"/>
  <c r="G75" i="2"/>
  <c r="F75" i="2"/>
  <c r="E75" i="2"/>
  <c r="G74" i="2"/>
  <c r="F74" i="2"/>
  <c r="E74" i="2"/>
  <c r="G73" i="2"/>
  <c r="F73" i="2"/>
  <c r="E73" i="2"/>
  <c r="G70" i="2"/>
  <c r="F70" i="2"/>
  <c r="E70" i="2"/>
  <c r="G69" i="2"/>
  <c r="F69" i="2"/>
  <c r="E69" i="2"/>
  <c r="G68" i="2"/>
  <c r="F68" i="2"/>
  <c r="E68" i="2"/>
  <c r="G65" i="2"/>
  <c r="F65" i="2"/>
  <c r="E65" i="2"/>
  <c r="G64" i="2"/>
  <c r="F64" i="2"/>
  <c r="E64" i="2"/>
  <c r="G63" i="2"/>
  <c r="F63" i="2"/>
  <c r="E63" i="2"/>
  <c r="G62" i="2"/>
  <c r="F62" i="2"/>
  <c r="E62" i="2"/>
  <c r="G57" i="2"/>
  <c r="F57" i="2"/>
  <c r="E57" i="2"/>
  <c r="G56" i="2"/>
  <c r="F56" i="2"/>
  <c r="E56" i="2"/>
  <c r="G55" i="2"/>
  <c r="F55" i="2"/>
  <c r="E55" i="2"/>
  <c r="G50" i="2"/>
  <c r="F50" i="2"/>
  <c r="E50" i="2"/>
  <c r="G49" i="2"/>
  <c r="F49" i="2"/>
  <c r="E49" i="2"/>
  <c r="G48" i="2"/>
  <c r="F48" i="2"/>
  <c r="E48" i="2"/>
  <c r="G43" i="2"/>
  <c r="F43" i="2"/>
  <c r="E43" i="2"/>
  <c r="G42" i="2"/>
  <c r="F42" i="2"/>
  <c r="E42" i="2"/>
  <c r="G41" i="2"/>
  <c r="F41" i="2"/>
  <c r="E41" i="2"/>
  <c r="G28" i="2"/>
  <c r="F28" i="2"/>
  <c r="E28" i="2"/>
  <c r="G27" i="2"/>
  <c r="F27" i="2"/>
  <c r="E27" i="2"/>
  <c r="G26" i="2"/>
  <c r="F26" i="2"/>
  <c r="E26" i="2"/>
  <c r="G20" i="2"/>
  <c r="F20" i="2"/>
  <c r="E20" i="2"/>
  <c r="G19" i="2"/>
  <c r="F19" i="2"/>
  <c r="E19" i="2"/>
  <c r="G18" i="2"/>
  <c r="F18" i="2"/>
  <c r="E18" i="2"/>
  <c r="I8" i="2"/>
  <c r="J8" i="2" s="1"/>
  <c r="I193" i="2" s="1" a="1"/>
  <c r="I193" i="2" s="1"/>
  <c r="D8" i="2"/>
  <c r="I17" i="2" s="1"/>
  <c r="D7" i="2"/>
  <c r="F33" i="8" s="1"/>
  <c r="D5" i="2"/>
  <c r="I14" i="2" s="1"/>
  <c r="B184" i="1"/>
  <c r="B183" i="1"/>
  <c r="B182" i="1"/>
  <c r="D8" i="1"/>
  <c r="D6" i="2" s="1"/>
  <c r="I38" i="2" s="1"/>
  <c r="G21" i="8" s="1"/>
  <c r="E6" i="1"/>
  <c r="G172" i="1" s="1"/>
  <c r="G178" i="1" l="1"/>
  <c r="G170" i="1"/>
  <c r="I190" i="2" s="1"/>
  <c r="G171" i="1"/>
  <c r="I191" i="2" s="1"/>
  <c r="G169" i="1"/>
  <c r="I189" i="2" s="1"/>
  <c r="F148" i="2"/>
  <c r="F149" i="2" s="1"/>
  <c r="G148" i="2"/>
  <c r="E148" i="2"/>
  <c r="E149" i="2" s="1"/>
  <c r="I149" i="2" s="1"/>
  <c r="G62" i="12" s="1"/>
  <c r="AE66" i="7"/>
  <c r="AE62" i="7"/>
  <c r="AE63" i="7"/>
  <c r="AE64" i="7"/>
  <c r="AE65" i="7"/>
  <c r="G52" i="2"/>
  <c r="F94" i="2"/>
  <c r="F95" i="2" s="1"/>
  <c r="K9" i="13"/>
  <c r="F52" i="2"/>
  <c r="C95" i="2"/>
  <c r="F103" i="12"/>
  <c r="F104" i="12"/>
  <c r="D26" i="1"/>
  <c r="AF55" i="7"/>
  <c r="E52" i="2"/>
  <c r="E77" i="2"/>
  <c r="I77" i="2" s="1"/>
  <c r="P55" i="7"/>
  <c r="G149" i="2"/>
  <c r="E93" i="2"/>
  <c r="I93" i="2" s="1"/>
  <c r="L14" i="4"/>
  <c r="X55" i="7"/>
  <c r="G176" i="1"/>
  <c r="E94" i="2"/>
  <c r="E95" i="2" s="1"/>
  <c r="I95" i="2" s="1"/>
  <c r="G150" i="2"/>
  <c r="M55" i="7"/>
  <c r="U55" i="7"/>
  <c r="AC55" i="7"/>
  <c r="G59" i="1"/>
  <c r="G87" i="1"/>
  <c r="G99" i="1"/>
  <c r="G111" i="1"/>
  <c r="G136" i="1"/>
  <c r="G147" i="1"/>
  <c r="G161" i="1"/>
  <c r="G48" i="1"/>
  <c r="G64" i="1"/>
  <c r="G79" i="1"/>
  <c r="G89" i="1"/>
  <c r="G101" i="1"/>
  <c r="G112" i="1"/>
  <c r="G126" i="1"/>
  <c r="G137" i="1"/>
  <c r="G148" i="1"/>
  <c r="G162" i="1"/>
  <c r="F77" i="2"/>
  <c r="E150" i="2"/>
  <c r="I150" i="2" s="1"/>
  <c r="G63" i="12" s="1"/>
  <c r="Q55" i="7"/>
  <c r="Y55" i="7"/>
  <c r="AG55" i="7"/>
  <c r="G58" i="1"/>
  <c r="G73" i="1"/>
  <c r="G85" i="1"/>
  <c r="G96" i="1"/>
  <c r="G109" i="1"/>
  <c r="G122" i="1"/>
  <c r="G133" i="1"/>
  <c r="G141" i="1"/>
  <c r="G155" i="1"/>
  <c r="G42" i="1"/>
  <c r="G74" i="1"/>
  <c r="G125" i="1"/>
  <c r="G52" i="1"/>
  <c r="G80" i="1"/>
  <c r="G92" i="1"/>
  <c r="G103" i="1"/>
  <c r="G118" i="1"/>
  <c r="G129" i="1"/>
  <c r="G140" i="1"/>
  <c r="G154" i="1"/>
  <c r="G175" i="1"/>
  <c r="G77" i="2"/>
  <c r="F150" i="2"/>
  <c r="L55" i="7"/>
  <c r="T55" i="7"/>
  <c r="AB55" i="7"/>
  <c r="C75" i="2"/>
  <c r="F41" i="7"/>
  <c r="J10" i="1"/>
  <c r="J34" i="1"/>
  <c r="C109" i="1"/>
  <c r="J5" i="1"/>
  <c r="J16" i="1"/>
  <c r="C71" i="1"/>
  <c r="C88" i="1"/>
  <c r="C102" i="1"/>
  <c r="J18" i="1"/>
  <c r="J27" i="1"/>
  <c r="C99" i="1"/>
  <c r="J32" i="1"/>
  <c r="C65" i="1"/>
  <c r="C86" i="1"/>
  <c r="C90" i="1"/>
  <c r="C107" i="1"/>
  <c r="I109" i="2"/>
  <c r="G78" i="8" s="1"/>
  <c r="I98" i="2"/>
  <c r="G61" i="8" s="1"/>
  <c r="I92" i="2"/>
  <c r="I91" i="2"/>
  <c r="I73" i="2"/>
  <c r="G24" i="7" s="1"/>
  <c r="I70" i="2"/>
  <c r="I69" i="2"/>
  <c r="I49" i="2"/>
  <c r="I48" i="2"/>
  <c r="I43" i="2"/>
  <c r="G18" i="8" s="1"/>
  <c r="I42" i="2"/>
  <c r="I41" i="2"/>
  <c r="C183" i="1" s="1"/>
  <c r="I107" i="2"/>
  <c r="G76" i="8" s="1"/>
  <c r="I97" i="2"/>
  <c r="I90" i="2"/>
  <c r="G51" i="8" s="1"/>
  <c r="I89" i="2"/>
  <c r="I88" i="2"/>
  <c r="I82" i="2"/>
  <c r="G38" i="7" s="1"/>
  <c r="I81" i="2"/>
  <c r="G37" i="7" s="1"/>
  <c r="I80" i="2"/>
  <c r="G30" i="7" s="1"/>
  <c r="I76" i="2"/>
  <c r="G26" i="7" s="1"/>
  <c r="I68" i="2"/>
  <c r="I65" i="2"/>
  <c r="I64" i="2"/>
  <c r="I63" i="2"/>
  <c r="I62" i="2"/>
  <c r="I147" i="2"/>
  <c r="I146" i="2"/>
  <c r="I145" i="2"/>
  <c r="I144" i="2"/>
  <c r="I141" i="2"/>
  <c r="J15" i="5" s="1"/>
  <c r="I140" i="2"/>
  <c r="J14" i="5" s="1"/>
  <c r="I139" i="2"/>
  <c r="J13" i="5" s="1"/>
  <c r="F99" i="12"/>
  <c r="F97" i="12"/>
  <c r="F95" i="12"/>
  <c r="F93" i="12"/>
  <c r="F89" i="12"/>
  <c r="F87" i="12"/>
  <c r="F79" i="12"/>
  <c r="F44" i="12"/>
  <c r="F43" i="12"/>
  <c r="F42" i="12"/>
  <c r="F41" i="12"/>
  <c r="F38" i="12"/>
  <c r="F37" i="12"/>
  <c r="F36" i="12"/>
  <c r="F35" i="12"/>
  <c r="F98" i="12"/>
  <c r="F94" i="12"/>
  <c r="F88" i="12"/>
  <c r="F74" i="12"/>
  <c r="F58" i="12"/>
  <c r="F57" i="12"/>
  <c r="F56" i="12"/>
  <c r="F55" i="12"/>
  <c r="F54" i="12"/>
  <c r="F53" i="12"/>
  <c r="F84" i="12"/>
  <c r="F52" i="12"/>
  <c r="F50" i="12"/>
  <c r="F49" i="12"/>
  <c r="F48" i="12"/>
  <c r="F96" i="12"/>
  <c r="F86" i="12"/>
  <c r="F83" i="12"/>
  <c r="F47" i="12"/>
  <c r="F18" i="12"/>
  <c r="F29" i="11"/>
  <c r="F28" i="11"/>
  <c r="F27" i="11"/>
  <c r="F26" i="11"/>
  <c r="F19" i="11"/>
  <c r="F62" i="10"/>
  <c r="F58" i="10"/>
  <c r="F54" i="10"/>
  <c r="F52" i="10"/>
  <c r="F92" i="12"/>
  <c r="F36" i="11"/>
  <c r="F18" i="11"/>
  <c r="F57" i="10"/>
  <c r="F56" i="10"/>
  <c r="F48" i="10"/>
  <c r="F47" i="10"/>
  <c r="F39" i="10"/>
  <c r="F38" i="10"/>
  <c r="F20" i="12"/>
  <c r="F20" i="11"/>
  <c r="F63" i="10"/>
  <c r="F46" i="10"/>
  <c r="F40" i="10"/>
  <c r="F34" i="10"/>
  <c r="F27" i="10"/>
  <c r="F25" i="10"/>
  <c r="F22" i="10"/>
  <c r="F18" i="10"/>
  <c r="F16" i="10"/>
  <c r="F73" i="9"/>
  <c r="F48" i="9"/>
  <c r="F33" i="12"/>
  <c r="F31" i="12"/>
  <c r="F29" i="12"/>
  <c r="F25" i="12"/>
  <c r="F23" i="12"/>
  <c r="F35" i="11"/>
  <c r="F36" i="10"/>
  <c r="F30" i="10"/>
  <c r="F29" i="10"/>
  <c r="F21" i="10"/>
  <c r="F20" i="10"/>
  <c r="F72" i="9"/>
  <c r="F59" i="9"/>
  <c r="F58" i="9"/>
  <c r="F53" i="9"/>
  <c r="F34" i="12"/>
  <c r="F30" i="12"/>
  <c r="F24" i="12"/>
  <c r="F21" i="11"/>
  <c r="F65" i="10"/>
  <c r="F45" i="10"/>
  <c r="F74" i="9"/>
  <c r="F52" i="9"/>
  <c r="F24" i="9"/>
  <c r="F90" i="8"/>
  <c r="F65" i="8"/>
  <c r="F47" i="7"/>
  <c r="F45" i="7"/>
  <c r="F40" i="7"/>
  <c r="F32" i="7"/>
  <c r="F30" i="7"/>
  <c r="F28" i="7"/>
  <c r="F21" i="12"/>
  <c r="F16" i="12"/>
  <c r="F34" i="11"/>
  <c r="F55" i="10"/>
  <c r="F43" i="10"/>
  <c r="F37" i="10"/>
  <c r="F31" i="10"/>
  <c r="F71" i="9"/>
  <c r="F28" i="9"/>
  <c r="F21" i="9"/>
  <c r="F89" i="8"/>
  <c r="F85" i="8"/>
  <c r="F82" i="8"/>
  <c r="F64" i="8"/>
  <c r="F58" i="7"/>
  <c r="F56" i="7"/>
  <c r="F20" i="7"/>
  <c r="F18" i="7"/>
  <c r="F16" i="7"/>
  <c r="F49" i="10"/>
  <c r="F42" i="9"/>
  <c r="F41" i="9"/>
  <c r="F40" i="9"/>
  <c r="F39" i="9"/>
  <c r="F22" i="9"/>
  <c r="F17" i="9"/>
  <c r="F91" i="8"/>
  <c r="F83" i="8"/>
  <c r="F46" i="7"/>
  <c r="F39" i="7"/>
  <c r="F31" i="7"/>
  <c r="F27" i="7"/>
  <c r="C98" i="2"/>
  <c r="C91" i="2"/>
  <c r="C77" i="2"/>
  <c r="C69" i="2"/>
  <c r="I16" i="2"/>
  <c r="C111" i="1"/>
  <c r="C103" i="1"/>
  <c r="C101" i="1"/>
  <c r="C89" i="1"/>
  <c r="C87" i="1"/>
  <c r="C85" i="1"/>
  <c r="C79" i="1"/>
  <c r="J35" i="1"/>
  <c r="J33" i="1"/>
  <c r="J17" i="1"/>
  <c r="J15" i="1"/>
  <c r="F32" i="12"/>
  <c r="F22" i="12"/>
  <c r="F64" i="10"/>
  <c r="F19" i="10"/>
  <c r="F70" i="9"/>
  <c r="F54" i="9"/>
  <c r="F27" i="9"/>
  <c r="F88" i="8"/>
  <c r="F81" i="8"/>
  <c r="F71" i="8"/>
  <c r="F19" i="7"/>
  <c r="F15" i="7"/>
  <c r="C107" i="2"/>
  <c r="C97" i="2"/>
  <c r="C80" i="2"/>
  <c r="C76" i="2"/>
  <c r="C62" i="2"/>
  <c r="C60" i="1"/>
  <c r="J28" i="1"/>
  <c r="F19" i="12"/>
  <c r="F17" i="12"/>
  <c r="F75" i="9"/>
  <c r="F49" i="9"/>
  <c r="F20" i="9"/>
  <c r="F84" i="8"/>
  <c r="F63" i="8"/>
  <c r="F17" i="7"/>
  <c r="F46" i="9"/>
  <c r="F80" i="8"/>
  <c r="F66" i="8"/>
  <c r="F48" i="7"/>
  <c r="F36" i="7"/>
  <c r="F28" i="12"/>
  <c r="F21" i="7"/>
  <c r="C39" i="2"/>
  <c r="C50" i="2"/>
  <c r="I50" i="2"/>
  <c r="I55" i="2"/>
  <c r="I56" i="2"/>
  <c r="G17" i="7" s="1"/>
  <c r="G67" i="13" s="1"/>
  <c r="F93" i="2"/>
  <c r="B11" i="6"/>
  <c r="B18" i="6" s="1"/>
  <c r="F28" i="10"/>
  <c r="I18" i="2"/>
  <c r="I19" i="2"/>
  <c r="I20" i="2"/>
  <c r="I26" i="2"/>
  <c r="J12" i="4" s="1"/>
  <c r="I27" i="2"/>
  <c r="I28" i="2"/>
  <c r="J14" i="4" s="1"/>
  <c r="C57" i="2"/>
  <c r="I57" i="2"/>
  <c r="C78" i="2"/>
  <c r="I78" i="2"/>
  <c r="G28" i="7" s="1"/>
  <c r="G94" i="2"/>
  <c r="G95" i="2" s="1"/>
  <c r="G93" i="2"/>
  <c r="C104" i="2"/>
  <c r="I104" i="2"/>
  <c r="G75" i="8" s="1"/>
  <c r="C110" i="2"/>
  <c r="I110" i="2"/>
  <c r="G79" i="8" s="1"/>
  <c r="I111" i="2"/>
  <c r="J16" i="5" s="1"/>
  <c r="I117" i="2"/>
  <c r="G102" i="12" s="1"/>
  <c r="I118" i="2"/>
  <c r="I119" i="2"/>
  <c r="I125" i="2"/>
  <c r="G18" i="9" s="1"/>
  <c r="I126" i="2"/>
  <c r="G19" i="9" s="1"/>
  <c r="I127" i="2"/>
  <c r="G33" i="9" s="1"/>
  <c r="I128" i="2"/>
  <c r="G32" i="9" s="1"/>
  <c r="I129" i="2"/>
  <c r="I130" i="2"/>
  <c r="I131" i="2"/>
  <c r="G61" i="9" s="1"/>
  <c r="I132" i="2"/>
  <c r="I133" i="2" s="1"/>
  <c r="D27" i="1" s="1"/>
  <c r="F47" i="9"/>
  <c r="I108" i="2"/>
  <c r="G77" i="8" s="1"/>
  <c r="I40" i="2"/>
  <c r="C184" i="1" s="1"/>
  <c r="I37" i="2"/>
  <c r="I39" i="2"/>
  <c r="I36" i="2"/>
  <c r="I15" i="2"/>
  <c r="I75" i="2"/>
  <c r="G25" i="7" s="1"/>
  <c r="I35" i="2"/>
  <c r="C74" i="2"/>
  <c r="I74" i="2"/>
  <c r="G31" i="7" s="1"/>
  <c r="C79" i="2"/>
  <c r="I79" i="2"/>
  <c r="G29" i="7" s="1"/>
  <c r="G72" i="13" s="1"/>
  <c r="C96" i="2"/>
  <c r="I96" i="2"/>
  <c r="I106" i="2"/>
  <c r="G39" i="8" s="1"/>
  <c r="I155" i="2"/>
  <c r="G38" i="8" s="1"/>
  <c r="I156" i="2"/>
  <c r="G19" i="8" s="1"/>
  <c r="I159" i="2"/>
  <c r="I160" i="2"/>
  <c r="G129" i="8" s="1"/>
  <c r="I161" i="2"/>
  <c r="G122" i="8" s="1"/>
  <c r="I162" i="2"/>
  <c r="G123" i="8" s="1"/>
  <c r="I163" i="2"/>
  <c r="I164" i="2"/>
  <c r="G124" i="8" s="1"/>
  <c r="I166" i="2"/>
  <c r="I167" i="2"/>
  <c r="G58" i="8" s="1"/>
  <c r="I168" i="2"/>
  <c r="I170" i="2"/>
  <c r="G17" i="10" s="1"/>
  <c r="I171" i="2"/>
  <c r="G26" i="10" s="1"/>
  <c r="I174" i="2"/>
  <c r="G35" i="10" s="1"/>
  <c r="I176" i="2"/>
  <c r="G44" i="10" s="1"/>
  <c r="I181" i="2"/>
  <c r="G53" i="10" s="1"/>
  <c r="I184" i="2"/>
  <c r="I185" i="2"/>
  <c r="I186" i="2"/>
  <c r="I187" i="2"/>
  <c r="K6" i="11"/>
  <c r="K26" i="11" s="1"/>
  <c r="K6" i="12"/>
  <c r="K6" i="10"/>
  <c r="K6" i="7"/>
  <c r="K6" i="8"/>
  <c r="P8" i="4"/>
  <c r="F29" i="7"/>
  <c r="K6" i="9"/>
  <c r="K39" i="9" s="1"/>
  <c r="G46" i="1"/>
  <c r="G53" i="1"/>
  <c r="G65" i="1"/>
  <c r="G71" i="1"/>
  <c r="G78" i="1"/>
  <c r="G84" i="1"/>
  <c r="G86" i="1"/>
  <c r="G88" i="1"/>
  <c r="G90" i="1"/>
  <c r="G97" i="1"/>
  <c r="G100" i="1"/>
  <c r="G102" i="1"/>
  <c r="G107" i="1"/>
  <c r="G110" i="1"/>
  <c r="G116" i="1"/>
  <c r="G123" i="1"/>
  <c r="G127" i="1"/>
  <c r="G134" i="1"/>
  <c r="G138" i="1"/>
  <c r="G145" i="1"/>
  <c r="G149" i="1"/>
  <c r="G156" i="1"/>
  <c r="G163" i="1"/>
  <c r="G177" i="1"/>
  <c r="G47" i="1"/>
  <c r="G54" i="1"/>
  <c r="G60" i="1"/>
  <c r="G72" i="1"/>
  <c r="G91" i="1"/>
  <c r="G98" i="1"/>
  <c r="G108" i="1"/>
  <c r="G117" i="1"/>
  <c r="G124" i="1"/>
  <c r="G128" i="1"/>
  <c r="G135" i="1"/>
  <c r="G139" i="1"/>
  <c r="G146" i="1"/>
  <c r="G150" i="1"/>
  <c r="G160" i="1"/>
  <c r="G164" i="1"/>
  <c r="N55" i="7"/>
  <c r="R55" i="7"/>
  <c r="V55" i="7"/>
  <c r="Z55" i="7"/>
  <c r="AD55" i="7"/>
  <c r="K55" i="7"/>
  <c r="O55" i="7"/>
  <c r="S55" i="7"/>
  <c r="W55" i="7"/>
  <c r="AA55" i="7"/>
  <c r="F61" i="2" l="1"/>
  <c r="F60" i="2"/>
  <c r="I52" i="2"/>
  <c r="G15" i="7" s="1"/>
  <c r="E60" i="2"/>
  <c r="I60" i="2" s="1"/>
  <c r="E61" i="2"/>
  <c r="I61" i="2" s="1"/>
  <c r="G61" i="2"/>
  <c r="G60" i="2"/>
  <c r="F151" i="2"/>
  <c r="F152" i="2" s="1"/>
  <c r="G105" i="8"/>
  <c r="K110" i="8" s="1"/>
  <c r="K111" i="8" s="1"/>
  <c r="G151" i="2"/>
  <c r="G152" i="2" s="1"/>
  <c r="E151" i="2"/>
  <c r="Z65" i="7"/>
  <c r="Z63" i="7"/>
  <c r="Z62" i="7"/>
  <c r="Z66" i="7"/>
  <c r="Z64" i="7"/>
  <c r="AB66" i="7"/>
  <c r="AB65" i="7"/>
  <c r="AB64" i="7"/>
  <c r="AB62" i="7"/>
  <c r="AB63" i="7"/>
  <c r="Y66" i="7"/>
  <c r="Y64" i="7"/>
  <c r="Y63" i="7"/>
  <c r="Y65" i="7"/>
  <c r="Y62" i="7"/>
  <c r="M66" i="7"/>
  <c r="M65" i="7"/>
  <c r="M64" i="7"/>
  <c r="M62" i="7"/>
  <c r="M63" i="7"/>
  <c r="X65" i="7"/>
  <c r="X66" i="7"/>
  <c r="X62" i="7"/>
  <c r="X63" i="7"/>
  <c r="X64" i="7"/>
  <c r="O66" i="7"/>
  <c r="O62" i="7"/>
  <c r="O65" i="7"/>
  <c r="O63" i="7"/>
  <c r="O64" i="7"/>
  <c r="V65" i="7"/>
  <c r="V66" i="7"/>
  <c r="V63" i="7"/>
  <c r="V64" i="7"/>
  <c r="V62" i="7"/>
  <c r="T65" i="7"/>
  <c r="T66" i="7"/>
  <c r="T64" i="7"/>
  <c r="T62" i="7"/>
  <c r="T63" i="7"/>
  <c r="Q66" i="7"/>
  <c r="Q64" i="7"/>
  <c r="Q63" i="7"/>
  <c r="Q65" i="7"/>
  <c r="Q62" i="7"/>
  <c r="P65" i="7"/>
  <c r="P66" i="7"/>
  <c r="P62" i="7"/>
  <c r="P63" i="7"/>
  <c r="P64" i="7"/>
  <c r="AF66" i="7"/>
  <c r="AF65" i="7"/>
  <c r="AF62" i="7"/>
  <c r="AF64" i="7"/>
  <c r="AF63" i="7"/>
  <c r="S66" i="7"/>
  <c r="S62" i="7"/>
  <c r="S63" i="7"/>
  <c r="S64" i="7"/>
  <c r="S65" i="7"/>
  <c r="K63" i="7"/>
  <c r="K66" i="7"/>
  <c r="K64" i="7"/>
  <c r="K65" i="7"/>
  <c r="K62" i="7"/>
  <c r="L65" i="7"/>
  <c r="L66" i="7"/>
  <c r="L64" i="7"/>
  <c r="L62" i="7"/>
  <c r="L63" i="7"/>
  <c r="AC66" i="7"/>
  <c r="AC64" i="7"/>
  <c r="AC65" i="7"/>
  <c r="AC63" i="7"/>
  <c r="AC62" i="7"/>
  <c r="AA66" i="7"/>
  <c r="AA62" i="7"/>
  <c r="AA63" i="7"/>
  <c r="AA65" i="7"/>
  <c r="AA64" i="7"/>
  <c r="R65" i="7"/>
  <c r="R63" i="7"/>
  <c r="R64" i="7"/>
  <c r="R62" i="7"/>
  <c r="R66" i="7"/>
  <c r="W66" i="7"/>
  <c r="W62" i="7"/>
  <c r="W65" i="7"/>
  <c r="W63" i="7"/>
  <c r="W64" i="7"/>
  <c r="AD63" i="7"/>
  <c r="AD64" i="7"/>
  <c r="AD62" i="7"/>
  <c r="AD66" i="7"/>
  <c r="AD65" i="7"/>
  <c r="N65" i="7"/>
  <c r="N63" i="7"/>
  <c r="N62" i="7"/>
  <c r="N64" i="7"/>
  <c r="N66" i="7"/>
  <c r="AG66" i="7"/>
  <c r="AG64" i="7"/>
  <c r="AG65" i="7"/>
  <c r="AG62" i="7"/>
  <c r="AG63" i="7"/>
  <c r="U66" i="7"/>
  <c r="U65" i="7"/>
  <c r="U64" i="7"/>
  <c r="U62" i="7"/>
  <c r="U63" i="7"/>
  <c r="G21" i="12"/>
  <c r="G16" i="9"/>
  <c r="H17" i="9" s="1"/>
  <c r="I94" i="2"/>
  <c r="G128" i="8"/>
  <c r="H31" i="6"/>
  <c r="H32" i="6" s="1"/>
  <c r="I148" i="2"/>
  <c r="G27" i="7"/>
  <c r="G71" i="13" s="1"/>
  <c r="J38" i="6"/>
  <c r="N38" i="6"/>
  <c r="R38" i="6"/>
  <c r="H38" i="6"/>
  <c r="I38" i="6"/>
  <c r="Q38" i="6"/>
  <c r="K38" i="6"/>
  <c r="O38" i="6"/>
  <c r="S38" i="6"/>
  <c r="L38" i="6"/>
  <c r="P38" i="6"/>
  <c r="M38" i="6"/>
  <c r="B26" i="6"/>
  <c r="B36" i="6" s="1"/>
  <c r="G51" i="2"/>
  <c r="F51" i="2"/>
  <c r="C182" i="1"/>
  <c r="C185" i="1" s="1"/>
  <c r="E51" i="2"/>
  <c r="I51" i="2" s="1"/>
  <c r="O19" i="5"/>
  <c r="G60" i="8"/>
  <c r="G31" i="6"/>
  <c r="G33" i="11"/>
  <c r="G17" i="8"/>
  <c r="P14" i="6"/>
  <c r="L14" i="6"/>
  <c r="H14" i="6"/>
  <c r="S14" i="6"/>
  <c r="O14" i="6"/>
  <c r="K14" i="6"/>
  <c r="Q14" i="6"/>
  <c r="I14" i="6"/>
  <c r="N14" i="6"/>
  <c r="J14" i="6"/>
  <c r="R14" i="6"/>
  <c r="M14" i="6"/>
  <c r="G30" i="6"/>
  <c r="G59" i="8"/>
  <c r="G25" i="11"/>
  <c r="G19" i="7"/>
  <c r="G40" i="8"/>
  <c r="O20" i="5"/>
  <c r="G106" i="8"/>
  <c r="G32" i="8"/>
  <c r="G29" i="6"/>
  <c r="G21" i="6"/>
  <c r="G24" i="6" s="1"/>
  <c r="K46" i="9"/>
  <c r="K47" i="9" s="1"/>
  <c r="G12" i="8"/>
  <c r="K16" i="8" s="1"/>
  <c r="J13" i="4"/>
  <c r="P17" i="4" s="1"/>
  <c r="O18" i="5"/>
  <c r="O21" i="5"/>
  <c r="O2" i="4"/>
  <c r="N2" i="4"/>
  <c r="L12" i="4"/>
  <c r="L6" i="12"/>
  <c r="L6" i="11"/>
  <c r="L6" i="9"/>
  <c r="L6" i="8"/>
  <c r="L6" i="7"/>
  <c r="L6" i="10"/>
  <c r="Q8" i="4"/>
  <c r="P8" i="5"/>
  <c r="P21" i="5" s="1"/>
  <c r="L9" i="13"/>
  <c r="K56" i="10"/>
  <c r="K38" i="10"/>
  <c r="K29" i="10"/>
  <c r="K20" i="10"/>
  <c r="K47" i="10"/>
  <c r="AF126" i="8"/>
  <c r="AB126" i="8"/>
  <c r="X126" i="8"/>
  <c r="T126" i="8"/>
  <c r="P126" i="8"/>
  <c r="L126" i="8"/>
  <c r="G20" i="7"/>
  <c r="G70" i="13" s="1"/>
  <c r="AE126" i="8"/>
  <c r="AA126" i="8"/>
  <c r="W126" i="8"/>
  <c r="S126" i="8"/>
  <c r="O126" i="8"/>
  <c r="K126" i="8"/>
  <c r="G121" i="8"/>
  <c r="AG126" i="8"/>
  <c r="Y126" i="8"/>
  <c r="Q126" i="8"/>
  <c r="AD126" i="8"/>
  <c r="V126" i="8"/>
  <c r="N126" i="8"/>
  <c r="AC126" i="8"/>
  <c r="M126" i="8"/>
  <c r="Z126" i="8"/>
  <c r="U126" i="8"/>
  <c r="R126" i="8"/>
  <c r="G44" i="2"/>
  <c r="G45" i="2" s="1"/>
  <c r="E44" i="2"/>
  <c r="F44" i="2"/>
  <c r="F45" i="2" s="1"/>
  <c r="AF102" i="13"/>
  <c r="AB102" i="13"/>
  <c r="X102" i="13"/>
  <c r="T102" i="13"/>
  <c r="P102" i="13"/>
  <c r="L102" i="13"/>
  <c r="AE102" i="13"/>
  <c r="AA102" i="13"/>
  <c r="W102" i="13"/>
  <c r="S102" i="13"/>
  <c r="O102" i="13"/>
  <c r="K102" i="13"/>
  <c r="AC102" i="13"/>
  <c r="U102" i="13"/>
  <c r="M102" i="13"/>
  <c r="N102" i="13"/>
  <c r="Z102" i="13"/>
  <c r="R102" i="13"/>
  <c r="AD102" i="13"/>
  <c r="AG102" i="13"/>
  <c r="Y102" i="13"/>
  <c r="Q102" i="13"/>
  <c r="V102" i="13"/>
  <c r="G18" i="7"/>
  <c r="G68" i="13" s="1"/>
  <c r="G103" i="8"/>
  <c r="G104" i="8"/>
  <c r="D33" i="1"/>
  <c r="G117" i="8" l="1"/>
  <c r="G116" i="8" s="1"/>
  <c r="G95" i="8"/>
  <c r="L16" i="8"/>
  <c r="L24" i="8" s="1"/>
  <c r="G43" i="10"/>
  <c r="G32" i="7"/>
  <c r="G46" i="7" s="1"/>
  <c r="H67" i="7"/>
  <c r="P16" i="4"/>
  <c r="L10" i="8" s="1"/>
  <c r="P19" i="5"/>
  <c r="L64" i="8" s="1"/>
  <c r="G32" i="6"/>
  <c r="K24" i="8"/>
  <c r="K44" i="8"/>
  <c r="V127" i="8"/>
  <c r="AG127" i="8"/>
  <c r="X127" i="8"/>
  <c r="G16" i="10"/>
  <c r="G65" i="13"/>
  <c r="E152" i="2"/>
  <c r="I152" i="2" s="1"/>
  <c r="I151" i="2"/>
  <c r="G64" i="12" s="1"/>
  <c r="M127" i="8"/>
  <c r="AD127" i="8"/>
  <c r="W127" i="8"/>
  <c r="L127" i="8"/>
  <c r="AB127" i="8"/>
  <c r="L11" i="11"/>
  <c r="L10" i="12"/>
  <c r="L10" i="10"/>
  <c r="L11" i="9"/>
  <c r="L11" i="8"/>
  <c r="L125" i="8" s="1"/>
  <c r="P10" i="5"/>
  <c r="K57" i="7"/>
  <c r="K70" i="7" s="1"/>
  <c r="L12" i="5"/>
  <c r="L3" i="5" s="1"/>
  <c r="P20" i="5"/>
  <c r="Z127" i="8"/>
  <c r="S127" i="8"/>
  <c r="L10" i="7"/>
  <c r="Q127" i="8"/>
  <c r="P127" i="8"/>
  <c r="K3" i="11"/>
  <c r="K3" i="12"/>
  <c r="K3" i="10"/>
  <c r="K3" i="9"/>
  <c r="K3" i="8"/>
  <c r="K3" i="7"/>
  <c r="K6" i="13"/>
  <c r="O2" i="5"/>
  <c r="O4" i="4"/>
  <c r="O3" i="4"/>
  <c r="P18" i="5"/>
  <c r="G34" i="10"/>
  <c r="G69" i="13"/>
  <c r="T14" i="6"/>
  <c r="G37" i="8"/>
  <c r="I105" i="2"/>
  <c r="R127" i="8"/>
  <c r="AC127" i="8"/>
  <c r="K127" i="8"/>
  <c r="I126" i="8"/>
  <c r="K64" i="8"/>
  <c r="AA127" i="8"/>
  <c r="AF127" i="8"/>
  <c r="E45" i="2"/>
  <c r="I45" i="2" s="1"/>
  <c r="I44" i="2"/>
  <c r="G16" i="7" s="1"/>
  <c r="U127" i="8"/>
  <c r="N127" i="8"/>
  <c r="Y127" i="8"/>
  <c r="O127" i="8"/>
  <c r="AE127" i="8"/>
  <c r="T127" i="8"/>
  <c r="M6" i="12"/>
  <c r="M6" i="10"/>
  <c r="M6" i="11"/>
  <c r="M6" i="9"/>
  <c r="M6" i="8"/>
  <c r="M16" i="8" s="1"/>
  <c r="M6" i="7"/>
  <c r="R8" i="4"/>
  <c r="Q8" i="5"/>
  <c r="Q16" i="4"/>
  <c r="M9" i="13"/>
  <c r="Q17" i="4"/>
  <c r="L13" i="4"/>
  <c r="L3" i="4" s="1"/>
  <c r="O16" i="4"/>
  <c r="O17" i="4"/>
  <c r="K72" i="7" l="1"/>
  <c r="K36" i="10" s="1"/>
  <c r="L33" i="8"/>
  <c r="L10" i="9"/>
  <c r="L10" i="11"/>
  <c r="L44" i="8"/>
  <c r="K18" i="10"/>
  <c r="K73" i="7"/>
  <c r="K45" i="10" s="1"/>
  <c r="K71" i="7"/>
  <c r="K27" i="10" s="1"/>
  <c r="K10" i="11"/>
  <c r="K10" i="9"/>
  <c r="K48" i="9" s="1"/>
  <c r="K10" i="8"/>
  <c r="K10" i="7"/>
  <c r="M11" i="11"/>
  <c r="M10" i="12"/>
  <c r="M10" i="10"/>
  <c r="M11" i="8"/>
  <c r="Q10" i="5"/>
  <c r="M11" i="9"/>
  <c r="N6" i="11"/>
  <c r="N6" i="12"/>
  <c r="N6" i="10"/>
  <c r="R8" i="5"/>
  <c r="N6" i="7"/>
  <c r="R17" i="4"/>
  <c r="R16" i="4"/>
  <c r="N6" i="9"/>
  <c r="N6" i="8"/>
  <c r="N16" i="8" s="1"/>
  <c r="S8" i="4"/>
  <c r="N9" i="13"/>
  <c r="G25" i="10"/>
  <c r="G66" i="13"/>
  <c r="L41" i="8"/>
  <c r="L42" i="8" s="1"/>
  <c r="K41" i="8"/>
  <c r="K42" i="8" s="1"/>
  <c r="M41" i="8"/>
  <c r="M42" i="8" s="1"/>
  <c r="K5" i="12"/>
  <c r="K5" i="11"/>
  <c r="K5" i="9"/>
  <c r="K5" i="8"/>
  <c r="K5" i="7"/>
  <c r="O6" i="4"/>
  <c r="O6" i="5" s="1"/>
  <c r="K5" i="10"/>
  <c r="K8" i="13"/>
  <c r="K62" i="13" s="1"/>
  <c r="O4" i="5"/>
  <c r="L23" i="8"/>
  <c r="K8" i="1"/>
  <c r="M10" i="11"/>
  <c r="M10" i="9"/>
  <c r="M10" i="8"/>
  <c r="M10" i="7"/>
  <c r="M44" i="8"/>
  <c r="M24" i="8"/>
  <c r="S15" i="6"/>
  <c r="O15" i="6"/>
  <c r="K15" i="6"/>
  <c r="G20" i="8"/>
  <c r="R15" i="6"/>
  <c r="N15" i="6"/>
  <c r="J15" i="6"/>
  <c r="L15" i="6"/>
  <c r="Q15" i="6"/>
  <c r="I15" i="6"/>
  <c r="M15" i="6"/>
  <c r="H15" i="6"/>
  <c r="H17" i="6" s="1"/>
  <c r="P15" i="6"/>
  <c r="L46" i="8"/>
  <c r="G21" i="7"/>
  <c r="K4" i="12"/>
  <c r="K4" i="10"/>
  <c r="K4" i="11"/>
  <c r="K4" i="9"/>
  <c r="K4" i="8"/>
  <c r="K4" i="7"/>
  <c r="O5" i="4"/>
  <c r="O5" i="5" s="1"/>
  <c r="P2" i="4"/>
  <c r="O7" i="4"/>
  <c r="O7" i="5" s="1"/>
  <c r="O3" i="5"/>
  <c r="K7" i="13"/>
  <c r="K10" i="10"/>
  <c r="K11" i="11"/>
  <c r="K11" i="9"/>
  <c r="K11" i="8"/>
  <c r="K33" i="8" s="1"/>
  <c r="K10" i="12"/>
  <c r="O10" i="5"/>
  <c r="Q18" i="5"/>
  <c r="Q19" i="5"/>
  <c r="Q20" i="5"/>
  <c r="Q21" i="5"/>
  <c r="H119" i="8"/>
  <c r="I127" i="8"/>
  <c r="L57" i="7"/>
  <c r="L71" i="7" s="1"/>
  <c r="L27" i="10" s="1"/>
  <c r="L83" i="8"/>
  <c r="L65" i="8"/>
  <c r="L45" i="8"/>
  <c r="L81" i="8" s="1"/>
  <c r="M64" i="8" l="1"/>
  <c r="M33" i="8"/>
  <c r="L34" i="9"/>
  <c r="L73" i="7"/>
  <c r="L45" i="10" s="1"/>
  <c r="L70" i="7"/>
  <c r="L72" i="7"/>
  <c r="L36" i="10" s="1"/>
  <c r="M45" i="8"/>
  <c r="M81" i="8" s="1"/>
  <c r="L16" i="6"/>
  <c r="O108" i="8" s="1"/>
  <c r="O113" i="8" s="1"/>
  <c r="O114" i="8" s="1"/>
  <c r="L17" i="6"/>
  <c r="Q16" i="6"/>
  <c r="T108" i="8" s="1"/>
  <c r="T113" i="8" s="1"/>
  <c r="T114" i="8" s="1"/>
  <c r="Q17" i="6"/>
  <c r="R16" i="6"/>
  <c r="U108" i="8" s="1"/>
  <c r="U113" i="8" s="1"/>
  <c r="U114" i="8" s="1"/>
  <c r="R17" i="6"/>
  <c r="J16" i="6"/>
  <c r="M108" i="8" s="1"/>
  <c r="M113" i="8" s="1"/>
  <c r="M114" i="8" s="1"/>
  <c r="J17" i="6"/>
  <c r="K16" i="6"/>
  <c r="N108" i="8" s="1"/>
  <c r="N113" i="8" s="1"/>
  <c r="N114" i="8" s="1"/>
  <c r="K17" i="6"/>
  <c r="P16" i="6"/>
  <c r="S108" i="8" s="1"/>
  <c r="S113" i="8" s="1"/>
  <c r="S114" i="8" s="1"/>
  <c r="P17" i="6"/>
  <c r="S16" i="6"/>
  <c r="V108" i="8" s="1"/>
  <c r="S17" i="6"/>
  <c r="M16" i="6"/>
  <c r="P108" i="8" s="1"/>
  <c r="P113" i="8" s="1"/>
  <c r="P114" i="8" s="1"/>
  <c r="M17" i="6"/>
  <c r="I16" i="6"/>
  <c r="L108" i="8" s="1"/>
  <c r="I17" i="6"/>
  <c r="N16" i="6"/>
  <c r="Q108" i="8" s="1"/>
  <c r="Q113" i="8" s="1"/>
  <c r="Q114" i="8" s="1"/>
  <c r="N17" i="6"/>
  <c r="O16" i="6"/>
  <c r="R108" i="8" s="1"/>
  <c r="R113" i="8" s="1"/>
  <c r="R114" i="8" s="1"/>
  <c r="O17" i="6"/>
  <c r="N44" i="8"/>
  <c r="N24" i="8"/>
  <c r="M57" i="7"/>
  <c r="M65" i="8"/>
  <c r="M83" i="8"/>
  <c r="K125" i="8"/>
  <c r="K46" i="8"/>
  <c r="K23" i="8"/>
  <c r="K65" i="8"/>
  <c r="K83" i="8"/>
  <c r="L3" i="11"/>
  <c r="L3" i="10"/>
  <c r="L3" i="9"/>
  <c r="L3" i="8"/>
  <c r="P2" i="5"/>
  <c r="P3" i="4"/>
  <c r="L3" i="7"/>
  <c r="L3" i="12"/>
  <c r="L6" i="13"/>
  <c r="P4" i="4"/>
  <c r="K45" i="8"/>
  <c r="R19" i="5"/>
  <c r="R20" i="5"/>
  <c r="R21" i="5"/>
  <c r="R18" i="5"/>
  <c r="M34" i="9"/>
  <c r="M35" i="9"/>
  <c r="K35" i="9"/>
  <c r="K34" i="9"/>
  <c r="L35" i="9"/>
  <c r="K49" i="9"/>
  <c r="G36" i="7"/>
  <c r="G45" i="7"/>
  <c r="N10" i="9"/>
  <c r="N10" i="8"/>
  <c r="N10" i="7"/>
  <c r="N10" i="11"/>
  <c r="T15" i="6"/>
  <c r="H16" i="6"/>
  <c r="K108" i="8" s="1"/>
  <c r="AD22" i="8"/>
  <c r="Z22" i="8"/>
  <c r="V22" i="8"/>
  <c r="R22" i="8"/>
  <c r="N22" i="8"/>
  <c r="AG22" i="8"/>
  <c r="AC22" i="8"/>
  <c r="Y22" i="8"/>
  <c r="U22" i="8"/>
  <c r="Q22" i="8"/>
  <c r="M22" i="8"/>
  <c r="AE22" i="8"/>
  <c r="W22" i="8"/>
  <c r="O22" i="8"/>
  <c r="AB22" i="8"/>
  <c r="T22" i="8"/>
  <c r="L22" i="8"/>
  <c r="X22" i="8"/>
  <c r="S22" i="8"/>
  <c r="AF22" i="8"/>
  <c r="P22" i="8"/>
  <c r="AA22" i="8"/>
  <c r="K22" i="8"/>
  <c r="L52" i="8"/>
  <c r="N41" i="8"/>
  <c r="N42" i="8" s="1"/>
  <c r="O6" i="11"/>
  <c r="O6" i="12"/>
  <c r="O6" i="9"/>
  <c r="O6" i="8"/>
  <c r="O16" i="8" s="1"/>
  <c r="S17" i="4"/>
  <c r="S16" i="4"/>
  <c r="O6" i="10"/>
  <c r="O6" i="7"/>
  <c r="S8" i="5"/>
  <c r="O9" i="13"/>
  <c r="T8" i="4"/>
  <c r="N10" i="12"/>
  <c r="N11" i="11"/>
  <c r="N10" i="10"/>
  <c r="N11" i="9"/>
  <c r="N11" i="8"/>
  <c r="R10" i="5"/>
  <c r="M125" i="8"/>
  <c r="M23" i="8"/>
  <c r="M46" i="8"/>
  <c r="N64" i="8" l="1"/>
  <c r="N33" i="8"/>
  <c r="M72" i="7"/>
  <c r="M36" i="10" s="1"/>
  <c r="M73" i="7"/>
  <c r="M45" i="10" s="1"/>
  <c r="M70" i="7"/>
  <c r="M71" i="7"/>
  <c r="M27" i="10" s="1"/>
  <c r="L18" i="10"/>
  <c r="T17" i="6"/>
  <c r="M25" i="8" s="1"/>
  <c r="M26" i="8" s="1"/>
  <c r="O10" i="12"/>
  <c r="O10" i="10"/>
  <c r="O11" i="11"/>
  <c r="O11" i="9"/>
  <c r="O11" i="8"/>
  <c r="S10" i="5"/>
  <c r="N125" i="8"/>
  <c r="N46" i="8"/>
  <c r="N23" i="8"/>
  <c r="K113" i="8"/>
  <c r="K114" i="8" s="1"/>
  <c r="K112" i="8"/>
  <c r="N57" i="7"/>
  <c r="N83" i="8"/>
  <c r="G79" i="13" s="1"/>
  <c r="N65" i="8"/>
  <c r="L5" i="12"/>
  <c r="L5" i="10"/>
  <c r="L5" i="9"/>
  <c r="L5" i="8"/>
  <c r="L5" i="7"/>
  <c r="P6" i="4"/>
  <c r="P6" i="5" s="1"/>
  <c r="L5" i="11"/>
  <c r="P4" i="5"/>
  <c r="L8" i="13"/>
  <c r="L62" i="13" s="1"/>
  <c r="K52" i="8"/>
  <c r="M52" i="8"/>
  <c r="N34" i="9"/>
  <c r="P6" i="12"/>
  <c r="P6" i="10"/>
  <c r="P6" i="9"/>
  <c r="P6" i="8"/>
  <c r="P16" i="8" s="1"/>
  <c r="P6" i="7"/>
  <c r="T17" i="4"/>
  <c r="T16" i="4"/>
  <c r="U8" i="4"/>
  <c r="P6" i="11"/>
  <c r="T8" i="5"/>
  <c r="P9" i="13"/>
  <c r="N35" i="9"/>
  <c r="N45" i="8"/>
  <c r="N81" i="8" s="1"/>
  <c r="G77" i="13" s="1"/>
  <c r="S21" i="5"/>
  <c r="S20" i="5"/>
  <c r="S18" i="5"/>
  <c r="S19" i="5"/>
  <c r="G39" i="7"/>
  <c r="G40" i="7"/>
  <c r="K81" i="8"/>
  <c r="O44" i="8"/>
  <c r="O24" i="8"/>
  <c r="O41" i="8"/>
  <c r="O42" i="8" s="1"/>
  <c r="K22" i="12"/>
  <c r="K20" i="11"/>
  <c r="L4" i="11"/>
  <c r="L4" i="12"/>
  <c r="L4" i="10"/>
  <c r="Q2" i="4"/>
  <c r="P3" i="5"/>
  <c r="P7" i="4"/>
  <c r="P7" i="5" s="1"/>
  <c r="L4" i="7"/>
  <c r="L4" i="9"/>
  <c r="L7" i="13"/>
  <c r="L4" i="8"/>
  <c r="P5" i="4"/>
  <c r="P5" i="5" s="1"/>
  <c r="O10" i="11"/>
  <c r="O10" i="9"/>
  <c r="O10" i="8"/>
  <c r="O10" i="7"/>
  <c r="G49" i="7"/>
  <c r="O64" i="8" l="1"/>
  <c r="O33" i="8"/>
  <c r="L74" i="7"/>
  <c r="M74" i="7"/>
  <c r="N74" i="7"/>
  <c r="K74" i="7"/>
  <c r="N73" i="7"/>
  <c r="N45" i="10" s="1"/>
  <c r="N70" i="7"/>
  <c r="N72" i="7"/>
  <c r="N36" i="10" s="1"/>
  <c r="N71" i="7"/>
  <c r="N27" i="10" s="1"/>
  <c r="M18" i="10"/>
  <c r="K25" i="8"/>
  <c r="K26" i="8" s="1"/>
  <c r="L25" i="8"/>
  <c r="L26" i="8" s="1"/>
  <c r="O25" i="8"/>
  <c r="O45" i="8"/>
  <c r="O81" i="8" s="1"/>
  <c r="N25" i="8"/>
  <c r="N26" i="8" s="1"/>
  <c r="I39" i="6"/>
  <c r="J39" i="6"/>
  <c r="K39" i="6"/>
  <c r="L39" i="6"/>
  <c r="M39" i="6"/>
  <c r="N39" i="6"/>
  <c r="O39" i="6"/>
  <c r="O40" i="6" s="1"/>
  <c r="P39" i="6"/>
  <c r="P40" i="6" s="1"/>
  <c r="Q39" i="6"/>
  <c r="Q40" i="6" s="1"/>
  <c r="R39" i="6"/>
  <c r="R40" i="6" s="1"/>
  <c r="S39" i="6"/>
  <c r="S40" i="6" s="1"/>
  <c r="H39" i="6"/>
  <c r="H40" i="6" s="1"/>
  <c r="I40" i="6"/>
  <c r="J40" i="6"/>
  <c r="K40" i="6"/>
  <c r="L40" i="6"/>
  <c r="M40" i="6"/>
  <c r="N40" i="6"/>
  <c r="P24" i="8"/>
  <c r="P44" i="8"/>
  <c r="P41" i="8"/>
  <c r="P42" i="8" s="1"/>
  <c r="O34" i="9"/>
  <c r="O35" i="9"/>
  <c r="P10" i="11"/>
  <c r="P10" i="9"/>
  <c r="P10" i="8"/>
  <c r="P10" i="7"/>
  <c r="M3" i="12"/>
  <c r="M3" i="11"/>
  <c r="M3" i="10"/>
  <c r="M3" i="9"/>
  <c r="M3" i="8"/>
  <c r="M3" i="7"/>
  <c r="Q2" i="5"/>
  <c r="Q3" i="4"/>
  <c r="Q4" i="4"/>
  <c r="M6" i="13"/>
  <c r="G52" i="10"/>
  <c r="G41" i="7"/>
  <c r="G47" i="7" s="1"/>
  <c r="G48" i="7" s="1"/>
  <c r="G73" i="13"/>
  <c r="T18" i="5"/>
  <c r="T20" i="5"/>
  <c r="T21" i="5"/>
  <c r="T19" i="5"/>
  <c r="P11" i="11"/>
  <c r="P10" i="10"/>
  <c r="P11" i="9"/>
  <c r="P10" i="12"/>
  <c r="P11" i="8"/>
  <c r="T10" i="5"/>
  <c r="K115" i="8"/>
  <c r="L109" i="8" s="1"/>
  <c r="N52" i="8"/>
  <c r="Q6" i="12"/>
  <c r="Q6" i="11"/>
  <c r="Q6" i="10"/>
  <c r="Q6" i="9"/>
  <c r="Q6" i="8"/>
  <c r="Q16" i="8" s="1"/>
  <c r="Q6" i="7"/>
  <c r="V8" i="4"/>
  <c r="U8" i="5"/>
  <c r="Q9" i="13"/>
  <c r="U17" i="4"/>
  <c r="U16" i="4"/>
  <c r="O57" i="7"/>
  <c r="O83" i="8"/>
  <c r="O65" i="8"/>
  <c r="O125" i="8"/>
  <c r="O23" i="8"/>
  <c r="O46" i="8"/>
  <c r="O26" i="8" l="1"/>
  <c r="P64" i="8"/>
  <c r="P33" i="8"/>
  <c r="O70" i="7"/>
  <c r="O72" i="7"/>
  <c r="O36" i="10" s="1"/>
  <c r="O73" i="7"/>
  <c r="O45" i="10" s="1"/>
  <c r="O71" i="7"/>
  <c r="O27" i="10" s="1"/>
  <c r="K75" i="7"/>
  <c r="L75" i="7"/>
  <c r="L58" i="7" s="1"/>
  <c r="M75" i="7"/>
  <c r="M58" i="7" s="1"/>
  <c r="N75" i="7"/>
  <c r="N58" i="7" s="1"/>
  <c r="N18" i="10"/>
  <c r="O74" i="7"/>
  <c r="T40" i="6"/>
  <c r="P25" i="8"/>
  <c r="P45" i="8"/>
  <c r="Q10" i="11"/>
  <c r="Q10" i="9"/>
  <c r="Q10" i="8"/>
  <c r="Q10" i="7"/>
  <c r="R6" i="11"/>
  <c r="R6" i="10"/>
  <c r="R6" i="9"/>
  <c r="R6" i="8"/>
  <c r="R16" i="8" s="1"/>
  <c r="V8" i="5"/>
  <c r="R6" i="7"/>
  <c r="R6" i="12"/>
  <c r="V17" i="4"/>
  <c r="W8" i="4"/>
  <c r="V16" i="4"/>
  <c r="R9" i="13"/>
  <c r="AD56" i="7"/>
  <c r="Z56" i="7"/>
  <c r="V56" i="7"/>
  <c r="R56" i="7"/>
  <c r="N56" i="7"/>
  <c r="AG56" i="7"/>
  <c r="AC56" i="7"/>
  <c r="Y56" i="7"/>
  <c r="U56" i="7"/>
  <c r="Q56" i="7"/>
  <c r="M56" i="7"/>
  <c r="AE56" i="7"/>
  <c r="W56" i="7"/>
  <c r="O56" i="7"/>
  <c r="AB56" i="7"/>
  <c r="T56" i="7"/>
  <c r="L56" i="7"/>
  <c r="X56" i="7"/>
  <c r="S56" i="7"/>
  <c r="AF56" i="7"/>
  <c r="P56" i="7"/>
  <c r="AA56" i="7"/>
  <c r="K56" i="7"/>
  <c r="K82" i="8"/>
  <c r="O82" i="8"/>
  <c r="M82" i="8"/>
  <c r="L82" i="8"/>
  <c r="N82" i="8"/>
  <c r="G78" i="13" s="1"/>
  <c r="P82" i="8"/>
  <c r="AH82" i="8"/>
  <c r="G50" i="7"/>
  <c r="M5" i="11"/>
  <c r="M5" i="12"/>
  <c r="M5" i="10"/>
  <c r="Q4" i="5"/>
  <c r="M5" i="9"/>
  <c r="M5" i="8"/>
  <c r="M5" i="7"/>
  <c r="Q6" i="4"/>
  <c r="Q6" i="5" s="1"/>
  <c r="M8" i="13"/>
  <c r="M62" i="13" s="1"/>
  <c r="O52" i="8"/>
  <c r="Q11" i="11"/>
  <c r="Q10" i="12"/>
  <c r="Q10" i="10"/>
  <c r="Q11" i="9"/>
  <c r="Q11" i="8"/>
  <c r="U10" i="5"/>
  <c r="L110" i="8"/>
  <c r="L111" i="8" s="1"/>
  <c r="L112" i="8" s="1"/>
  <c r="P34" i="9"/>
  <c r="M4" i="11"/>
  <c r="M4" i="12"/>
  <c r="Q3" i="5"/>
  <c r="Q7" i="4"/>
  <c r="Q7" i="5" s="1"/>
  <c r="M4" i="9"/>
  <c r="M4" i="8"/>
  <c r="M4" i="10"/>
  <c r="Q5" i="4"/>
  <c r="Q5" i="5" s="1"/>
  <c r="M7" i="13"/>
  <c r="M4" i="7"/>
  <c r="R2" i="4"/>
  <c r="Q35" i="9"/>
  <c r="Q44" i="8"/>
  <c r="Q45" i="8" s="1"/>
  <c r="Q24" i="8"/>
  <c r="Q41" i="8"/>
  <c r="Q42" i="8" s="1"/>
  <c r="U19" i="5"/>
  <c r="U20" i="5"/>
  <c r="U18" i="5"/>
  <c r="U21" i="5"/>
  <c r="P125" i="8"/>
  <c r="P23" i="8"/>
  <c r="P46" i="8"/>
  <c r="P57" i="7"/>
  <c r="P83" i="8"/>
  <c r="P65" i="8"/>
  <c r="P35" i="9"/>
  <c r="Q64" i="8" l="1"/>
  <c r="Q33" i="8"/>
  <c r="P26" i="8"/>
  <c r="O75" i="7"/>
  <c r="O58" i="7" s="1"/>
  <c r="O68" i="12" s="1"/>
  <c r="O18" i="10"/>
  <c r="P73" i="7"/>
  <c r="P45" i="10" s="1"/>
  <c r="P72" i="7"/>
  <c r="P36" i="10" s="1"/>
  <c r="P70" i="7"/>
  <c r="P71" i="7"/>
  <c r="P27" i="10" s="1"/>
  <c r="P74" i="7"/>
  <c r="K58" i="7"/>
  <c r="Q25" i="8"/>
  <c r="Q82" i="8"/>
  <c r="P52" i="8"/>
  <c r="R10" i="11"/>
  <c r="R10" i="9"/>
  <c r="R10" i="8"/>
  <c r="R10" i="7"/>
  <c r="Q81" i="8"/>
  <c r="N3" i="12"/>
  <c r="N3" i="11"/>
  <c r="N3" i="10"/>
  <c r="N3" i="9"/>
  <c r="N3" i="8"/>
  <c r="N3" i="7"/>
  <c r="R4" i="4"/>
  <c r="R2" i="5"/>
  <c r="R3" i="4"/>
  <c r="N6" i="13"/>
  <c r="L113" i="8"/>
  <c r="L114" i="8" s="1"/>
  <c r="I56" i="7"/>
  <c r="H54" i="7" s="1"/>
  <c r="G2" i="7" s="1"/>
  <c r="M68" i="12"/>
  <c r="M70" i="9"/>
  <c r="M27" i="9"/>
  <c r="S6" i="11"/>
  <c r="S6" i="12"/>
  <c r="S6" i="10"/>
  <c r="S6" i="7"/>
  <c r="W17" i="4"/>
  <c r="W16" i="4"/>
  <c r="X8" i="4"/>
  <c r="S6" i="9"/>
  <c r="S6" i="8"/>
  <c r="S16" i="8" s="1"/>
  <c r="W8" i="5"/>
  <c r="S9" i="13"/>
  <c r="V20" i="5"/>
  <c r="V19" i="5"/>
  <c r="V18" i="5"/>
  <c r="V21" i="5"/>
  <c r="P81" i="8"/>
  <c r="Q125" i="8"/>
  <c r="Q23" i="8"/>
  <c r="Q46" i="8"/>
  <c r="R10" i="12"/>
  <c r="R10" i="10"/>
  <c r="R11" i="9"/>
  <c r="R11" i="8"/>
  <c r="R11" i="11"/>
  <c r="V10" i="5"/>
  <c r="R44" i="8"/>
  <c r="R24" i="8"/>
  <c r="R25" i="8" s="1"/>
  <c r="R41" i="8"/>
  <c r="R42" i="8" s="1"/>
  <c r="Q57" i="7"/>
  <c r="Q83" i="8"/>
  <c r="Q65" i="8"/>
  <c r="Q34" i="9"/>
  <c r="L68" i="12"/>
  <c r="L70" i="9"/>
  <c r="L27" i="9"/>
  <c r="N68" i="12"/>
  <c r="N27" i="9"/>
  <c r="N70" i="9"/>
  <c r="R64" i="8" l="1"/>
  <c r="R33" i="8"/>
  <c r="Q26" i="8"/>
  <c r="O27" i="9"/>
  <c r="O70" i="9"/>
  <c r="O71" i="9" s="1"/>
  <c r="Q70" i="7"/>
  <c r="Q72" i="7"/>
  <c r="Q36" i="10" s="1"/>
  <c r="Q73" i="7"/>
  <c r="Q45" i="10" s="1"/>
  <c r="Q71" i="7"/>
  <c r="Q27" i="10" s="1"/>
  <c r="Q74" i="7"/>
  <c r="P75" i="7"/>
  <c r="P18" i="10"/>
  <c r="Q52" i="8"/>
  <c r="T6" i="12"/>
  <c r="T6" i="11"/>
  <c r="T6" i="9"/>
  <c r="T6" i="8"/>
  <c r="T16" i="8" s="1"/>
  <c r="T6" i="7"/>
  <c r="X17" i="4"/>
  <c r="X16" i="4"/>
  <c r="Y8" i="4"/>
  <c r="T6" i="10"/>
  <c r="X8" i="5"/>
  <c r="T9" i="13"/>
  <c r="M71" i="9"/>
  <c r="N4" i="12"/>
  <c r="N4" i="10"/>
  <c r="N4" i="9"/>
  <c r="N4" i="8"/>
  <c r="N4" i="7"/>
  <c r="N4" i="11"/>
  <c r="R5" i="4"/>
  <c r="R5" i="5" s="1"/>
  <c r="S2" i="4"/>
  <c r="R7" i="4"/>
  <c r="R7" i="5" s="1"/>
  <c r="N7" i="13"/>
  <c r="R3" i="5"/>
  <c r="R45" i="8"/>
  <c r="R34" i="9"/>
  <c r="R35" i="9"/>
  <c r="R57" i="7"/>
  <c r="R83" i="8"/>
  <c r="R65" i="8"/>
  <c r="R82" i="8"/>
  <c r="W18" i="5"/>
  <c r="W21" i="5"/>
  <c r="W19" i="5"/>
  <c r="W20" i="5"/>
  <c r="S10" i="11"/>
  <c r="S10" i="9"/>
  <c r="S10" i="8"/>
  <c r="S10" i="7"/>
  <c r="R125" i="8"/>
  <c r="R46" i="8"/>
  <c r="R23" i="8"/>
  <c r="R26" i="8" s="1"/>
  <c r="N71" i="9"/>
  <c r="L71" i="9"/>
  <c r="S44" i="8"/>
  <c r="S24" i="8"/>
  <c r="S41" i="8"/>
  <c r="S42" i="8" s="1"/>
  <c r="S10" i="10"/>
  <c r="S11" i="11"/>
  <c r="S11" i="9"/>
  <c r="S11" i="8"/>
  <c r="S10" i="12"/>
  <c r="W10" i="5"/>
  <c r="K68" i="12"/>
  <c r="K70" i="9"/>
  <c r="K27" i="9"/>
  <c r="L115" i="8"/>
  <c r="M109" i="8" s="1"/>
  <c r="N5" i="11"/>
  <c r="R4" i="5"/>
  <c r="N5" i="12"/>
  <c r="N5" i="10"/>
  <c r="N5" i="9"/>
  <c r="N5" i="8"/>
  <c r="N5" i="7"/>
  <c r="R6" i="4"/>
  <c r="R6" i="5" s="1"/>
  <c r="N8" i="13"/>
  <c r="N62" i="13" s="1"/>
  <c r="S64" i="8" l="1"/>
  <c r="S33" i="8"/>
  <c r="P58" i="7"/>
  <c r="Q18" i="10"/>
  <c r="Q75" i="7"/>
  <c r="Q58" i="7" s="1"/>
  <c r="Q27" i="9" s="1"/>
  <c r="R70" i="7"/>
  <c r="R73" i="7"/>
  <c r="R45" i="10" s="1"/>
  <c r="R72" i="7"/>
  <c r="R36" i="10" s="1"/>
  <c r="R71" i="7"/>
  <c r="R27" i="10" s="1"/>
  <c r="R74" i="7"/>
  <c r="S25" i="8"/>
  <c r="S45" i="8"/>
  <c r="S81" i="8" s="1"/>
  <c r="Q68" i="12"/>
  <c r="S34" i="9"/>
  <c r="S35" i="9"/>
  <c r="T24" i="8"/>
  <c r="T44" i="8"/>
  <c r="T41" i="8"/>
  <c r="T42" i="8" s="1"/>
  <c r="M70" i="12"/>
  <c r="M33" i="12"/>
  <c r="O70" i="12"/>
  <c r="O33" i="12"/>
  <c r="R81" i="8"/>
  <c r="T10" i="11"/>
  <c r="T10" i="7"/>
  <c r="T10" i="8"/>
  <c r="T10" i="9"/>
  <c r="L70" i="12"/>
  <c r="L33" i="12"/>
  <c r="R52" i="8"/>
  <c r="X20" i="5"/>
  <c r="X21" i="5"/>
  <c r="X19" i="5"/>
  <c r="X18" i="5"/>
  <c r="T11" i="11"/>
  <c r="T10" i="12"/>
  <c r="T10" i="10"/>
  <c r="T11" i="9"/>
  <c r="T11" i="8"/>
  <c r="X10" i="5"/>
  <c r="U6" i="12"/>
  <c r="U6" i="10"/>
  <c r="U6" i="9"/>
  <c r="U6" i="8"/>
  <c r="U16" i="8" s="1"/>
  <c r="U6" i="7"/>
  <c r="Z8" i="4"/>
  <c r="U6" i="11"/>
  <c r="Y8" i="5"/>
  <c r="Y17" i="4"/>
  <c r="Y16" i="4"/>
  <c r="U9" i="13"/>
  <c r="N70" i="12"/>
  <c r="N33" i="12"/>
  <c r="S57" i="7"/>
  <c r="S65" i="8"/>
  <c r="S83" i="8"/>
  <c r="S82" i="8"/>
  <c r="M110" i="8"/>
  <c r="M111" i="8" s="1"/>
  <c r="K71" i="9"/>
  <c r="S125" i="8"/>
  <c r="S23" i="8"/>
  <c r="S46" i="8"/>
  <c r="O3" i="11"/>
  <c r="O3" i="10"/>
  <c r="O3" i="12"/>
  <c r="O3" i="9"/>
  <c r="O3" i="8"/>
  <c r="O3" i="7"/>
  <c r="S2" i="5"/>
  <c r="S3" i="4"/>
  <c r="S4" i="4"/>
  <c r="O6" i="13"/>
  <c r="S26" i="8" l="1"/>
  <c r="T64" i="8"/>
  <c r="T33" i="8"/>
  <c r="S70" i="7"/>
  <c r="S72" i="7"/>
  <c r="S36" i="10" s="1"/>
  <c r="S73" i="7"/>
  <c r="S45" i="10" s="1"/>
  <c r="S71" i="7"/>
  <c r="S27" i="10" s="1"/>
  <c r="S74" i="7"/>
  <c r="R75" i="7"/>
  <c r="R58" i="7" s="1"/>
  <c r="R68" i="12" s="1"/>
  <c r="R18" i="10"/>
  <c r="Q70" i="9"/>
  <c r="Q71" i="9" s="1"/>
  <c r="Q33" i="12" s="1"/>
  <c r="P68" i="12"/>
  <c r="P70" i="9"/>
  <c r="P71" i="9" s="1"/>
  <c r="P70" i="12" s="1"/>
  <c r="P27" i="9"/>
  <c r="T25" i="8"/>
  <c r="O4" i="12"/>
  <c r="O4" i="11"/>
  <c r="O4" i="10"/>
  <c r="O4" i="9"/>
  <c r="O4" i="8"/>
  <c r="O4" i="7"/>
  <c r="S5" i="4"/>
  <c r="S5" i="5" s="1"/>
  <c r="T2" i="4"/>
  <c r="S3" i="5"/>
  <c r="O7" i="13"/>
  <c r="S7" i="4"/>
  <c r="S7" i="5" s="1"/>
  <c r="M112" i="8"/>
  <c r="M115" i="8" s="1"/>
  <c r="N109" i="8" s="1"/>
  <c r="T34" i="9"/>
  <c r="T57" i="7"/>
  <c r="T83" i="8"/>
  <c r="T65" i="8"/>
  <c r="T82" i="8"/>
  <c r="S52" i="8"/>
  <c r="K70" i="12"/>
  <c r="K33" i="12"/>
  <c r="U10" i="11"/>
  <c r="U10" i="9"/>
  <c r="U10" i="8"/>
  <c r="U10" i="7"/>
  <c r="V6" i="11"/>
  <c r="V6" i="12"/>
  <c r="V6" i="10"/>
  <c r="Z8" i="5"/>
  <c r="V6" i="9"/>
  <c r="Z17" i="4"/>
  <c r="Z16" i="4"/>
  <c r="V6" i="8"/>
  <c r="V16" i="8" s="1"/>
  <c r="V6" i="7"/>
  <c r="AA8" i="4"/>
  <c r="V9" i="13"/>
  <c r="U11" i="11"/>
  <c r="U10" i="12"/>
  <c r="U10" i="10"/>
  <c r="Y10" i="5"/>
  <c r="U11" i="9"/>
  <c r="U11" i="8"/>
  <c r="T45" i="8"/>
  <c r="O5" i="12"/>
  <c r="O5" i="11"/>
  <c r="O5" i="10"/>
  <c r="O5" i="9"/>
  <c r="O5" i="8"/>
  <c r="O5" i="7"/>
  <c r="S6" i="4"/>
  <c r="S6" i="5" s="1"/>
  <c r="S4" i="5"/>
  <c r="O8" i="13"/>
  <c r="O62" i="13" s="1"/>
  <c r="Y18" i="5"/>
  <c r="Y21" i="5"/>
  <c r="Y20" i="5"/>
  <c r="Y19" i="5"/>
  <c r="U24" i="8"/>
  <c r="U44" i="8"/>
  <c r="U45" i="8" s="1"/>
  <c r="U41" i="8"/>
  <c r="U42" i="8" s="1"/>
  <c r="T125" i="8"/>
  <c r="T46" i="8"/>
  <c r="T23" i="8"/>
  <c r="T35" i="9"/>
  <c r="U64" i="8" l="1"/>
  <c r="U33" i="8"/>
  <c r="T26" i="8"/>
  <c r="R70" i="9"/>
  <c r="R71" i="9" s="1"/>
  <c r="R27" i="9"/>
  <c r="P33" i="12"/>
  <c r="Q70" i="12"/>
  <c r="T72" i="7"/>
  <c r="T36" i="10" s="1"/>
  <c r="T73" i="7"/>
  <c r="T45" i="10" s="1"/>
  <c r="T70" i="7"/>
  <c r="T71" i="7"/>
  <c r="T27" i="10" s="1"/>
  <c r="T74" i="7"/>
  <c r="S75" i="7"/>
  <c r="S58" i="7" s="1"/>
  <c r="S68" i="12" s="1"/>
  <c r="S18" i="10"/>
  <c r="U81" i="8"/>
  <c r="U25" i="8"/>
  <c r="N110" i="8"/>
  <c r="N111" i="8" s="1"/>
  <c r="T81" i="8"/>
  <c r="V10" i="11"/>
  <c r="V10" i="9"/>
  <c r="V10" i="8"/>
  <c r="V10" i="7"/>
  <c r="V10" i="12"/>
  <c r="V11" i="11"/>
  <c r="V10" i="10"/>
  <c r="V11" i="9"/>
  <c r="V11" i="8"/>
  <c r="Z10" i="5"/>
  <c r="U57" i="7"/>
  <c r="U83" i="8"/>
  <c r="U65" i="8"/>
  <c r="U82" i="8"/>
  <c r="W6" i="11"/>
  <c r="W6" i="12"/>
  <c r="W6" i="10"/>
  <c r="W6" i="9"/>
  <c r="W6" i="8"/>
  <c r="W16" i="8" s="1"/>
  <c r="AA17" i="4"/>
  <c r="AA16" i="4"/>
  <c r="W6" i="7"/>
  <c r="W9" i="13"/>
  <c r="AA8" i="5"/>
  <c r="AB8" i="4"/>
  <c r="U125" i="8"/>
  <c r="U23" i="8"/>
  <c r="U46" i="8"/>
  <c r="T52" i="8"/>
  <c r="U34" i="9"/>
  <c r="U35" i="9"/>
  <c r="V24" i="8"/>
  <c r="V44" i="8"/>
  <c r="V41" i="8"/>
  <c r="V42" i="8" s="1"/>
  <c r="Z19" i="5"/>
  <c r="Z20" i="5"/>
  <c r="Z18" i="5"/>
  <c r="Z21" i="5"/>
  <c r="P3" i="11"/>
  <c r="P3" i="12"/>
  <c r="P3" i="10"/>
  <c r="P3" i="7"/>
  <c r="T2" i="5"/>
  <c r="T3" i="4"/>
  <c r="P3" i="8"/>
  <c r="T4" i="4"/>
  <c r="P3" i="9"/>
  <c r="P6" i="13"/>
  <c r="V25" i="8" l="1"/>
  <c r="V64" i="8"/>
  <c r="V33" i="8"/>
  <c r="U26" i="8"/>
  <c r="S27" i="9"/>
  <c r="S70" i="9"/>
  <c r="S71" i="9" s="1"/>
  <c r="U73" i="7"/>
  <c r="U45" i="10" s="1"/>
  <c r="U70" i="7"/>
  <c r="U72" i="7"/>
  <c r="U36" i="10" s="1"/>
  <c r="U71" i="7"/>
  <c r="U27" i="10" s="1"/>
  <c r="U74" i="7"/>
  <c r="T75" i="7"/>
  <c r="T18" i="10"/>
  <c r="V45" i="8"/>
  <c r="V81" i="8" s="1"/>
  <c r="N112" i="8"/>
  <c r="N115" i="8" s="1"/>
  <c r="O109" i="8" s="1"/>
  <c r="P4" i="11"/>
  <c r="P4" i="10"/>
  <c r="P4" i="12"/>
  <c r="P4" i="9"/>
  <c r="P4" i="8"/>
  <c r="U2" i="4"/>
  <c r="P4" i="7"/>
  <c r="T3" i="5"/>
  <c r="T7" i="4"/>
  <c r="T7" i="5" s="1"/>
  <c r="T5" i="4"/>
  <c r="T5" i="5" s="1"/>
  <c r="P7" i="13"/>
  <c r="V57" i="7"/>
  <c r="V65" i="8"/>
  <c r="V83" i="8"/>
  <c r="V82" i="8"/>
  <c r="X6" i="12"/>
  <c r="X6" i="11"/>
  <c r="X6" i="10"/>
  <c r="X6" i="9"/>
  <c r="X6" i="8"/>
  <c r="X16" i="8" s="1"/>
  <c r="X6" i="7"/>
  <c r="AB17" i="4"/>
  <c r="AB16" i="4"/>
  <c r="AC8" i="4"/>
  <c r="AB8" i="5"/>
  <c r="X9" i="13"/>
  <c r="W10" i="11"/>
  <c r="W10" i="7"/>
  <c r="W10" i="9"/>
  <c r="W10" i="8"/>
  <c r="V34" i="9"/>
  <c r="V35" i="9"/>
  <c r="P5" i="12"/>
  <c r="P5" i="11"/>
  <c r="P5" i="10"/>
  <c r="P5" i="9"/>
  <c r="P5" i="8"/>
  <c r="P5" i="7"/>
  <c r="T6" i="4"/>
  <c r="T6" i="5" s="1"/>
  <c r="T4" i="5"/>
  <c r="P8" i="13"/>
  <c r="P62" i="13" s="1"/>
  <c r="AA20" i="5"/>
  <c r="AA18" i="5"/>
  <c r="AA21" i="5"/>
  <c r="AA19" i="5"/>
  <c r="W10" i="12"/>
  <c r="W10" i="10"/>
  <c r="W11" i="9"/>
  <c r="W11" i="8"/>
  <c r="AA10" i="5"/>
  <c r="W11" i="11"/>
  <c r="R70" i="12"/>
  <c r="R33" i="12"/>
  <c r="U52" i="8"/>
  <c r="W24" i="8"/>
  <c r="W44" i="8"/>
  <c r="W41" i="8"/>
  <c r="W42" i="8" s="1"/>
  <c r="V125" i="8"/>
  <c r="V23" i="8"/>
  <c r="V26" i="8" s="1"/>
  <c r="V46" i="8"/>
  <c r="W64" i="8" l="1"/>
  <c r="W33" i="8"/>
  <c r="V72" i="7"/>
  <c r="V36" i="10" s="1"/>
  <c r="V70" i="7"/>
  <c r="V73" i="7"/>
  <c r="V45" i="10" s="1"/>
  <c r="V71" i="7"/>
  <c r="V27" i="10" s="1"/>
  <c r="V74" i="7"/>
  <c r="T58" i="7"/>
  <c r="U18" i="10"/>
  <c r="U75" i="7"/>
  <c r="U58" i="7" s="1"/>
  <c r="U68" i="12" s="1"/>
  <c r="W25" i="8"/>
  <c r="W26" i="8" s="1"/>
  <c r="W45" i="8"/>
  <c r="W81" i="8" s="1"/>
  <c r="O110" i="8"/>
  <c r="O111" i="8" s="1"/>
  <c r="S33" i="12"/>
  <c r="S70" i="12"/>
  <c r="X44" i="8"/>
  <c r="X24" i="8"/>
  <c r="X41" i="8"/>
  <c r="X42" i="8" s="1"/>
  <c r="W125" i="8"/>
  <c r="W46" i="8"/>
  <c r="W23" i="8"/>
  <c r="X10" i="11"/>
  <c r="X10" i="9"/>
  <c r="X10" i="8"/>
  <c r="X10" i="7"/>
  <c r="W57" i="7"/>
  <c r="W83" i="8"/>
  <c r="W65" i="8"/>
  <c r="W82" i="8"/>
  <c r="AB20" i="5"/>
  <c r="AB19" i="5"/>
  <c r="AB21" i="5"/>
  <c r="AB18" i="5"/>
  <c r="Q3" i="12"/>
  <c r="Q3" i="11"/>
  <c r="Q3" i="9"/>
  <c r="Q3" i="8"/>
  <c r="Q3" i="7"/>
  <c r="Q3" i="10"/>
  <c r="U2" i="5"/>
  <c r="U3" i="4"/>
  <c r="U4" i="4"/>
  <c r="Q6" i="13"/>
  <c r="Y6" i="12"/>
  <c r="Y6" i="11"/>
  <c r="Y6" i="10"/>
  <c r="Y6" i="9"/>
  <c r="Y6" i="8"/>
  <c r="Y16" i="8" s="1"/>
  <c r="Y6" i="7"/>
  <c r="AD8" i="4"/>
  <c r="AC8" i="5"/>
  <c r="AC16" i="4"/>
  <c r="AC17" i="4"/>
  <c r="Y9" i="13"/>
  <c r="V52" i="8"/>
  <c r="W34" i="9"/>
  <c r="W35" i="9"/>
  <c r="X11" i="11"/>
  <c r="X10" i="12"/>
  <c r="X10" i="10"/>
  <c r="X11" i="9"/>
  <c r="X11" i="8"/>
  <c r="AB10" i="5"/>
  <c r="X64" i="8" l="1"/>
  <c r="X33" i="8"/>
  <c r="U27" i="9"/>
  <c r="U70" i="9"/>
  <c r="U71" i="9" s="1"/>
  <c r="W73" i="7"/>
  <c r="W45" i="10" s="1"/>
  <c r="W70" i="7"/>
  <c r="W72" i="7"/>
  <c r="W36" i="10" s="1"/>
  <c r="W71" i="7"/>
  <c r="W27" i="10" s="1"/>
  <c r="W74" i="7"/>
  <c r="T68" i="12"/>
  <c r="T27" i="9"/>
  <c r="T70" i="9"/>
  <c r="T71" i="9" s="1"/>
  <c r="T33" i="12" s="1"/>
  <c r="V75" i="7"/>
  <c r="V58" i="7" s="1"/>
  <c r="V68" i="12" s="1"/>
  <c r="V18" i="10"/>
  <c r="X25" i="8"/>
  <c r="X45" i="8"/>
  <c r="X81" i="8" s="1"/>
  <c r="O112" i="8"/>
  <c r="O115" i="8" s="1"/>
  <c r="P109" i="8" s="1"/>
  <c r="X34" i="9"/>
  <c r="X35" i="9"/>
  <c r="Y11" i="11"/>
  <c r="Y10" i="12"/>
  <c r="Y10" i="10"/>
  <c r="Y11" i="9"/>
  <c r="Y11" i="8"/>
  <c r="AC10" i="5"/>
  <c r="W52" i="8"/>
  <c r="Y10" i="9"/>
  <c r="Y10" i="8"/>
  <c r="Y10" i="7"/>
  <c r="Y10" i="11"/>
  <c r="Y24" i="8"/>
  <c r="Y44" i="8"/>
  <c r="Y41" i="8"/>
  <c r="Y42" i="8" s="1"/>
  <c r="Q4" i="11"/>
  <c r="Q4" i="12"/>
  <c r="Q4" i="10"/>
  <c r="Q4" i="7"/>
  <c r="U3" i="5"/>
  <c r="U7" i="4"/>
  <c r="U7" i="5" s="1"/>
  <c r="U5" i="4"/>
  <c r="U5" i="5" s="1"/>
  <c r="Q4" i="9"/>
  <c r="Q4" i="8"/>
  <c r="Q7" i="13"/>
  <c r="V2" i="4"/>
  <c r="Z6" i="11"/>
  <c r="Z6" i="10"/>
  <c r="Z6" i="12"/>
  <c r="Z6" i="9"/>
  <c r="Z6" i="8"/>
  <c r="Z16" i="8" s="1"/>
  <c r="AD8" i="5"/>
  <c r="Z6" i="7"/>
  <c r="AD16" i="4"/>
  <c r="AD17" i="4"/>
  <c r="AE8" i="4"/>
  <c r="Z9" i="13"/>
  <c r="Q5" i="11"/>
  <c r="Q5" i="10"/>
  <c r="Q5" i="12"/>
  <c r="Q5" i="9"/>
  <c r="Q5" i="8"/>
  <c r="Q5" i="7"/>
  <c r="U4" i="5"/>
  <c r="Q8" i="13"/>
  <c r="Q62" i="13" s="1"/>
  <c r="U6" i="4"/>
  <c r="U6" i="5" s="1"/>
  <c r="X125" i="8"/>
  <c r="X46" i="8"/>
  <c r="X23" i="8"/>
  <c r="AC19" i="5"/>
  <c r="AC20" i="5"/>
  <c r="AC21" i="5"/>
  <c r="AC18" i="5"/>
  <c r="X57" i="7"/>
  <c r="X83" i="8"/>
  <c r="X65" i="8"/>
  <c r="X82" i="8"/>
  <c r="Y64" i="8" l="1"/>
  <c r="Y33" i="8"/>
  <c r="X26" i="8"/>
  <c r="V70" i="9"/>
  <c r="V71" i="9" s="1"/>
  <c r="V27" i="9"/>
  <c r="T70" i="12"/>
  <c r="W75" i="7"/>
  <c r="W58" i="7" s="1"/>
  <c r="W70" i="9" s="1"/>
  <c r="W18" i="10"/>
  <c r="X70" i="7"/>
  <c r="X72" i="7"/>
  <c r="X36" i="10" s="1"/>
  <c r="X73" i="7"/>
  <c r="X45" i="10" s="1"/>
  <c r="X71" i="7"/>
  <c r="X27" i="10" s="1"/>
  <c r="X74" i="7"/>
  <c r="Y45" i="8"/>
  <c r="Y81" i="8" s="1"/>
  <c r="Y25" i="8"/>
  <c r="P110" i="8"/>
  <c r="P111" i="8" s="1"/>
  <c r="X52" i="8"/>
  <c r="AD20" i="5"/>
  <c r="AD18" i="5"/>
  <c r="AD19" i="5"/>
  <c r="AD21" i="5"/>
  <c r="R3" i="12"/>
  <c r="R3" i="10"/>
  <c r="R3" i="11"/>
  <c r="R3" i="9"/>
  <c r="R3" i="8"/>
  <c r="R3" i="7"/>
  <c r="V4" i="4"/>
  <c r="V2" i="5"/>
  <c r="V3" i="4"/>
  <c r="R6" i="13"/>
  <c r="Z10" i="12"/>
  <c r="Z10" i="10"/>
  <c r="Z11" i="11"/>
  <c r="Z11" i="9"/>
  <c r="Z11" i="8"/>
  <c r="AD10" i="5"/>
  <c r="Y34" i="9"/>
  <c r="Y35" i="9"/>
  <c r="AA6" i="11"/>
  <c r="AA6" i="12"/>
  <c r="AA6" i="10"/>
  <c r="AA6" i="7"/>
  <c r="AE17" i="4"/>
  <c r="AE16" i="4"/>
  <c r="AA6" i="8"/>
  <c r="AA16" i="8" s="1"/>
  <c r="AF8" i="4"/>
  <c r="AA9" i="13"/>
  <c r="AE8" i="5"/>
  <c r="AA6" i="9"/>
  <c r="Y57" i="7"/>
  <c r="Y83" i="8"/>
  <c r="Y65" i="8"/>
  <c r="Y82" i="8"/>
  <c r="Z44" i="8"/>
  <c r="Z24" i="8"/>
  <c r="Z25" i="8" s="1"/>
  <c r="Z41" i="8"/>
  <c r="Z42" i="8" s="1"/>
  <c r="Z10" i="11"/>
  <c r="Z10" i="9"/>
  <c r="Z10" i="8"/>
  <c r="Z10" i="7"/>
  <c r="U70" i="12"/>
  <c r="U33" i="12"/>
  <c r="Y125" i="8"/>
  <c r="Y46" i="8"/>
  <c r="Y23" i="8"/>
  <c r="Z64" i="8" l="1"/>
  <c r="Z33" i="8"/>
  <c r="Y26" i="8"/>
  <c r="W27" i="9"/>
  <c r="W68" i="12"/>
  <c r="X75" i="7"/>
  <c r="X58" i="7" s="1"/>
  <c r="X27" i="9" s="1"/>
  <c r="X18" i="10"/>
  <c r="Y73" i="7"/>
  <c r="Y45" i="10" s="1"/>
  <c r="Y70" i="7"/>
  <c r="Y72" i="7"/>
  <c r="Y36" i="10" s="1"/>
  <c r="Y71" i="7"/>
  <c r="Y27" i="10" s="1"/>
  <c r="Y74" i="7"/>
  <c r="P112" i="8"/>
  <c r="P115" i="8" s="1"/>
  <c r="Q109" i="8" s="1"/>
  <c r="W71" i="9"/>
  <c r="AA10" i="10"/>
  <c r="AA11" i="11"/>
  <c r="AA11" i="9"/>
  <c r="AA11" i="8"/>
  <c r="AE10" i="5"/>
  <c r="AA10" i="12"/>
  <c r="Z125" i="8"/>
  <c r="Z46" i="8"/>
  <c r="Z23" i="8"/>
  <c r="Z26" i="8" s="1"/>
  <c r="Z34" i="9"/>
  <c r="Z35" i="9"/>
  <c r="Z45" i="8"/>
  <c r="Z81" i="8" s="1"/>
  <c r="AB6" i="12"/>
  <c r="AB6" i="11"/>
  <c r="AB6" i="9"/>
  <c r="AB6" i="8"/>
  <c r="AB16" i="8" s="1"/>
  <c r="AB6" i="7"/>
  <c r="AB6" i="10"/>
  <c r="AF17" i="4"/>
  <c r="AF16" i="4"/>
  <c r="AG8" i="4"/>
  <c r="AF8" i="5"/>
  <c r="AB9" i="13"/>
  <c r="R5" i="11"/>
  <c r="R5" i="12"/>
  <c r="R5" i="10"/>
  <c r="R5" i="7"/>
  <c r="V4" i="5"/>
  <c r="R5" i="8"/>
  <c r="V6" i="4"/>
  <c r="V6" i="5" s="1"/>
  <c r="R5" i="9"/>
  <c r="R8" i="13"/>
  <c r="R62" i="13" s="1"/>
  <c r="V70" i="12"/>
  <c r="V33" i="12"/>
  <c r="AA44" i="8"/>
  <c r="AA24" i="8"/>
  <c r="AA41" i="8"/>
  <c r="AA42" i="8" s="1"/>
  <c r="Z57" i="7"/>
  <c r="Z83" i="8"/>
  <c r="Z65" i="8"/>
  <c r="Z82" i="8"/>
  <c r="Y52" i="8"/>
  <c r="AE20" i="5"/>
  <c r="AE19" i="5"/>
  <c r="AE21" i="5"/>
  <c r="AE18" i="5"/>
  <c r="AA10" i="11"/>
  <c r="AA10" i="9"/>
  <c r="AA10" i="8"/>
  <c r="AA10" i="7"/>
  <c r="R4" i="12"/>
  <c r="R4" i="11"/>
  <c r="R4" i="9"/>
  <c r="R4" i="8"/>
  <c r="R4" i="7"/>
  <c r="V5" i="4"/>
  <c r="V5" i="5" s="1"/>
  <c r="R4" i="10"/>
  <c r="V3" i="5"/>
  <c r="R7" i="13"/>
  <c r="W2" i="4"/>
  <c r="V7" i="4"/>
  <c r="V7" i="5" s="1"/>
  <c r="X68" i="12" l="1"/>
  <c r="AA64" i="8"/>
  <c r="AA33" i="8"/>
  <c r="X70" i="9"/>
  <c r="X71" i="9" s="1"/>
  <c r="AA25" i="8"/>
  <c r="Z72" i="7"/>
  <c r="Z36" i="10" s="1"/>
  <c r="Z70" i="7"/>
  <c r="Z73" i="7"/>
  <c r="Z45" i="10" s="1"/>
  <c r="Z71" i="7"/>
  <c r="Z27" i="10" s="1"/>
  <c r="Z74" i="7"/>
  <c r="Y18" i="10"/>
  <c r="Y75" i="7"/>
  <c r="Y58" i="7" s="1"/>
  <c r="Y68" i="12" s="1"/>
  <c r="AA45" i="8"/>
  <c r="AA81" i="8" s="1"/>
  <c r="Q110" i="8"/>
  <c r="Q111" i="8" s="1"/>
  <c r="AC6" i="12"/>
  <c r="AC6" i="10"/>
  <c r="AC6" i="11"/>
  <c r="AC6" i="9"/>
  <c r="AC6" i="8"/>
  <c r="AC16" i="8" s="1"/>
  <c r="AC6" i="7"/>
  <c r="AH8" i="4"/>
  <c r="AG8" i="5"/>
  <c r="AC9" i="13"/>
  <c r="AG17" i="4"/>
  <c r="AG16" i="4"/>
  <c r="AB10" i="11"/>
  <c r="AB10" i="7"/>
  <c r="AB10" i="9"/>
  <c r="AB10" i="8"/>
  <c r="AB44" i="8"/>
  <c r="AB24" i="8"/>
  <c r="AB41" i="8"/>
  <c r="AB42" i="8" s="1"/>
  <c r="Z52" i="8"/>
  <c r="AA34" i="9"/>
  <c r="AA35" i="9"/>
  <c r="S3" i="11"/>
  <c r="S3" i="12"/>
  <c r="S3" i="10"/>
  <c r="S3" i="7"/>
  <c r="S3" i="9"/>
  <c r="S3" i="8"/>
  <c r="W2" i="5"/>
  <c r="W4" i="4"/>
  <c r="W3" i="4"/>
  <c r="S6" i="13"/>
  <c r="AB11" i="11"/>
  <c r="AB10" i="12"/>
  <c r="AB10" i="10"/>
  <c r="AB11" i="9"/>
  <c r="AB11" i="8"/>
  <c r="AF10" i="5"/>
  <c r="W70" i="12"/>
  <c r="W33" i="12"/>
  <c r="AA125" i="8"/>
  <c r="AA46" i="8"/>
  <c r="AA23" i="8"/>
  <c r="AA57" i="7"/>
  <c r="AA83" i="8"/>
  <c r="AA65" i="8"/>
  <c r="AA82" i="8"/>
  <c r="AF18" i="5"/>
  <c r="AF19" i="5"/>
  <c r="AF20" i="5"/>
  <c r="AF21" i="5"/>
  <c r="AB64" i="8" l="1"/>
  <c r="AB33" i="8"/>
  <c r="AA26" i="8"/>
  <c r="Y27" i="9"/>
  <c r="Y70" i="9"/>
  <c r="Y71" i="9" s="1"/>
  <c r="AA72" i="7"/>
  <c r="AA36" i="10" s="1"/>
  <c r="AA73" i="7"/>
  <c r="AA45" i="10" s="1"/>
  <c r="AA70" i="7"/>
  <c r="AA71" i="7"/>
  <c r="AA27" i="10" s="1"/>
  <c r="AA74" i="7"/>
  <c r="Z75" i="7"/>
  <c r="Z58" i="7" s="1"/>
  <c r="Z68" i="12" s="1"/>
  <c r="Z18" i="10"/>
  <c r="AB25" i="8"/>
  <c r="Q112" i="8"/>
  <c r="Q115" i="8" s="1"/>
  <c r="R109" i="8" s="1"/>
  <c r="S4" i="12"/>
  <c r="S4" i="10"/>
  <c r="S4" i="9"/>
  <c r="S4" i="8"/>
  <c r="S4" i="7"/>
  <c r="W5" i="4"/>
  <c r="W5" i="5" s="1"/>
  <c r="X2" i="4"/>
  <c r="W7" i="4"/>
  <c r="W7" i="5" s="1"/>
  <c r="S4" i="11"/>
  <c r="S7" i="13"/>
  <c r="W3" i="5"/>
  <c r="AC11" i="11"/>
  <c r="AC10" i="12"/>
  <c r="AC10" i="10"/>
  <c r="AC11" i="8"/>
  <c r="AG10" i="5"/>
  <c r="AC11" i="9"/>
  <c r="AB34" i="9"/>
  <c r="AB35" i="9"/>
  <c r="S5" i="12"/>
  <c r="S5" i="11"/>
  <c r="S5" i="9"/>
  <c r="S5" i="8"/>
  <c r="S5" i="7"/>
  <c r="S5" i="10"/>
  <c r="W6" i="4"/>
  <c r="W6" i="5" s="1"/>
  <c r="S8" i="13"/>
  <c r="S62" i="13" s="1"/>
  <c r="W4" i="5"/>
  <c r="AC24" i="8"/>
  <c r="AC44" i="8"/>
  <c r="AC41" i="8"/>
  <c r="AC42" i="8" s="1"/>
  <c r="X33" i="12"/>
  <c r="X70" i="12"/>
  <c r="AG19" i="5"/>
  <c r="AG18" i="5"/>
  <c r="AG21" i="5"/>
  <c r="AG20" i="5"/>
  <c r="AB125" i="8"/>
  <c r="AB23" i="8"/>
  <c r="AB46" i="8"/>
  <c r="AB57" i="7"/>
  <c r="AB83" i="8"/>
  <c r="AB65" i="8"/>
  <c r="AB82" i="8"/>
  <c r="AA52" i="8"/>
  <c r="AB45" i="8"/>
  <c r="AB81" i="8" s="1"/>
  <c r="AC10" i="11"/>
  <c r="AC10" i="9"/>
  <c r="AC10" i="8"/>
  <c r="AC10" i="7"/>
  <c r="AD6" i="11"/>
  <c r="AD6" i="12"/>
  <c r="AD6" i="10"/>
  <c r="AH8" i="5"/>
  <c r="AD6" i="7"/>
  <c r="AH17" i="4"/>
  <c r="AH16" i="4"/>
  <c r="AD6" i="9"/>
  <c r="AI8" i="4"/>
  <c r="AD6" i="8"/>
  <c r="AD16" i="8" s="1"/>
  <c r="AD9" i="13"/>
  <c r="AC64" i="8" l="1"/>
  <c r="AC33" i="8"/>
  <c r="AB26" i="8"/>
  <c r="Z27" i="9"/>
  <c r="Z70" i="9"/>
  <c r="Z71" i="9" s="1"/>
  <c r="AC45" i="8"/>
  <c r="AC25" i="8"/>
  <c r="AB73" i="7"/>
  <c r="AB45" i="10" s="1"/>
  <c r="AB70" i="7"/>
  <c r="AB72" i="7"/>
  <c r="AB36" i="10" s="1"/>
  <c r="AB71" i="7"/>
  <c r="AB27" i="10" s="1"/>
  <c r="AB74" i="7"/>
  <c r="AA75" i="7"/>
  <c r="AA58" i="7" s="1"/>
  <c r="AA27" i="9" s="1"/>
  <c r="AA18" i="10"/>
  <c r="AC81" i="8"/>
  <c r="R110" i="8"/>
  <c r="R111" i="8" s="1"/>
  <c r="AD10" i="12"/>
  <c r="AD11" i="11"/>
  <c r="AD10" i="10"/>
  <c r="AD11" i="9"/>
  <c r="AD11" i="8"/>
  <c r="AH10" i="5"/>
  <c r="AD44" i="8"/>
  <c r="AD24" i="8"/>
  <c r="AD25" i="8" s="1"/>
  <c r="AD41" i="8"/>
  <c r="AD42" i="8" s="1"/>
  <c r="AC57" i="7"/>
  <c r="AC83" i="8"/>
  <c r="AC65" i="8"/>
  <c r="AC82" i="8"/>
  <c r="AC125" i="8"/>
  <c r="AC23" i="8"/>
  <c r="AC46" i="8"/>
  <c r="T3" i="11"/>
  <c r="T3" i="12"/>
  <c r="T3" i="9"/>
  <c r="T3" i="8"/>
  <c r="X2" i="5"/>
  <c r="X3" i="4"/>
  <c r="T3" i="10"/>
  <c r="T3" i="7"/>
  <c r="T6" i="13"/>
  <c r="X4" i="4"/>
  <c r="AE6" i="11"/>
  <c r="AE6" i="12"/>
  <c r="AE6" i="9"/>
  <c r="AE6" i="8"/>
  <c r="AE16" i="8" s="1"/>
  <c r="AI17" i="4"/>
  <c r="AI16" i="4"/>
  <c r="AE6" i="10"/>
  <c r="AJ8" i="4"/>
  <c r="AI8" i="5"/>
  <c r="AE9" i="13"/>
  <c r="AE6" i="7"/>
  <c r="AH21" i="5"/>
  <c r="AH20" i="5"/>
  <c r="AH19" i="5"/>
  <c r="AH18" i="5"/>
  <c r="AB52" i="8"/>
  <c r="AC34" i="9"/>
  <c r="AC35" i="9"/>
  <c r="AD10" i="9"/>
  <c r="AD10" i="8"/>
  <c r="AD10" i="7"/>
  <c r="AD10" i="11"/>
  <c r="Y70" i="12"/>
  <c r="Y33" i="12"/>
  <c r="AD64" i="8" l="1"/>
  <c r="AD33" i="8"/>
  <c r="AC26" i="8"/>
  <c r="AA70" i="9"/>
  <c r="AA71" i="9" s="1"/>
  <c r="AA68" i="12"/>
  <c r="AD45" i="8"/>
  <c r="AD81" i="8" s="1"/>
  <c r="AC72" i="7"/>
  <c r="AC36" i="10" s="1"/>
  <c r="AC73" i="7"/>
  <c r="AC45" i="10" s="1"/>
  <c r="AC70" i="7"/>
  <c r="AC71" i="7"/>
  <c r="AC27" i="10" s="1"/>
  <c r="AC74" i="7"/>
  <c r="AB75" i="7"/>
  <c r="AB58" i="7" s="1"/>
  <c r="AB68" i="12" s="1"/>
  <c r="AB18" i="10"/>
  <c r="R112" i="8"/>
  <c r="R115" i="8" s="1"/>
  <c r="S109" i="8" s="1"/>
  <c r="AE10" i="11"/>
  <c r="AE10" i="9"/>
  <c r="AE10" i="8"/>
  <c r="AE10" i="7"/>
  <c r="T5" i="12"/>
  <c r="T5" i="10"/>
  <c r="T5" i="11"/>
  <c r="T5" i="9"/>
  <c r="T5" i="8"/>
  <c r="T5" i="7"/>
  <c r="X6" i="4"/>
  <c r="X6" i="5" s="1"/>
  <c r="X4" i="5"/>
  <c r="T8" i="13"/>
  <c r="T62" i="13" s="1"/>
  <c r="T4" i="11"/>
  <c r="T4" i="12"/>
  <c r="T4" i="10"/>
  <c r="Y2" i="4"/>
  <c r="X3" i="5"/>
  <c r="X7" i="4"/>
  <c r="X7" i="5" s="1"/>
  <c r="T4" i="9"/>
  <c r="T4" i="8"/>
  <c r="T4" i="7"/>
  <c r="T7" i="13"/>
  <c r="X5" i="4"/>
  <c r="X5" i="5" s="1"/>
  <c r="AC52" i="8"/>
  <c r="Z70" i="12"/>
  <c r="Z33" i="12"/>
  <c r="AD57" i="7"/>
  <c r="AD65" i="8"/>
  <c r="AD83" i="8"/>
  <c r="AD82" i="8"/>
  <c r="AI19" i="5"/>
  <c r="AI18" i="5"/>
  <c r="AI21" i="5"/>
  <c r="AI20" i="5"/>
  <c r="AE10" i="12"/>
  <c r="AE10" i="10"/>
  <c r="AE11" i="11"/>
  <c r="AE11" i="9"/>
  <c r="AE11" i="8"/>
  <c r="AI10" i="5"/>
  <c r="AD125" i="8"/>
  <c r="AD46" i="8"/>
  <c r="AD23" i="8"/>
  <c r="AD26" i="8" s="1"/>
  <c r="AF6" i="12"/>
  <c r="AF6" i="10"/>
  <c r="AF6" i="9"/>
  <c r="AF6" i="8"/>
  <c r="AF16" i="8" s="1"/>
  <c r="AF6" i="7"/>
  <c r="AF6" i="11"/>
  <c r="AJ17" i="4"/>
  <c r="AJ16" i="4"/>
  <c r="AK8" i="4"/>
  <c r="AJ8" i="5"/>
  <c r="AF9" i="13"/>
  <c r="AE44" i="8"/>
  <c r="AE24" i="8"/>
  <c r="AE41" i="8"/>
  <c r="AE42" i="8" s="1"/>
  <c r="AD34" i="9"/>
  <c r="AD35" i="9"/>
  <c r="AE64" i="8" l="1"/>
  <c r="AE33" i="8"/>
  <c r="AD73" i="7"/>
  <c r="AD45" i="10" s="1"/>
  <c r="AD70" i="7"/>
  <c r="AD72" i="7"/>
  <c r="AD36" i="10" s="1"/>
  <c r="AD71" i="7"/>
  <c r="AD27" i="10" s="1"/>
  <c r="AD74" i="7"/>
  <c r="AC18" i="10"/>
  <c r="AC75" i="7"/>
  <c r="AC58" i="7" s="1"/>
  <c r="AC27" i="9" s="1"/>
  <c r="AE25" i="8"/>
  <c r="AB27" i="9"/>
  <c r="AB70" i="9"/>
  <c r="AB71" i="9" s="1"/>
  <c r="AE45" i="8"/>
  <c r="AE81" i="8" s="1"/>
  <c r="S110" i="8"/>
  <c r="S111" i="8" s="1"/>
  <c r="AE34" i="9"/>
  <c r="AE35" i="9"/>
  <c r="AF11" i="11"/>
  <c r="AF10" i="12"/>
  <c r="AF10" i="10"/>
  <c r="AF11" i="9"/>
  <c r="AF11" i="8"/>
  <c r="AJ10" i="5"/>
  <c r="AF10" i="11"/>
  <c r="AF10" i="9"/>
  <c r="AF10" i="8"/>
  <c r="AF10" i="7"/>
  <c r="U3" i="12"/>
  <c r="U3" i="10"/>
  <c r="U3" i="9"/>
  <c r="U3" i="8"/>
  <c r="U3" i="7"/>
  <c r="Y2" i="5"/>
  <c r="Y3" i="4"/>
  <c r="Y4" i="4"/>
  <c r="U3" i="11"/>
  <c r="U6" i="13"/>
  <c r="AA70" i="12"/>
  <c r="AA33" i="12"/>
  <c r="AJ19" i="5"/>
  <c r="AJ21" i="5"/>
  <c r="AJ20" i="5"/>
  <c r="AJ18" i="5"/>
  <c r="AE57" i="7"/>
  <c r="AE83" i="8"/>
  <c r="AE65" i="8"/>
  <c r="AE82" i="8"/>
  <c r="AF44" i="8"/>
  <c r="AF24" i="8"/>
  <c r="AF41" i="8"/>
  <c r="AF42" i="8" s="1"/>
  <c r="AG6" i="12"/>
  <c r="AG6" i="11"/>
  <c r="AG6" i="10"/>
  <c r="AG6" i="9"/>
  <c r="AG6" i="8"/>
  <c r="AG16" i="8" s="1"/>
  <c r="AG6" i="7"/>
  <c r="AK8" i="5"/>
  <c r="AK17" i="4"/>
  <c r="AK16" i="4"/>
  <c r="AG9" i="13"/>
  <c r="AD52" i="8"/>
  <c r="AE125" i="8"/>
  <c r="AE46" i="8"/>
  <c r="AE23" i="8"/>
  <c r="AC70" i="9" l="1"/>
  <c r="AC71" i="9" s="1"/>
  <c r="AF64" i="8"/>
  <c r="AF33" i="8"/>
  <c r="AE26" i="8"/>
  <c r="AC68" i="12"/>
  <c r="AF25" i="8"/>
  <c r="AE70" i="7"/>
  <c r="AE72" i="7"/>
  <c r="AE36" i="10" s="1"/>
  <c r="AE73" i="7"/>
  <c r="AE45" i="10" s="1"/>
  <c r="AE71" i="7"/>
  <c r="AE27" i="10" s="1"/>
  <c r="AE74" i="7"/>
  <c r="AD75" i="7"/>
  <c r="AD58" i="7" s="1"/>
  <c r="AD70" i="9" s="1"/>
  <c r="AD18" i="10"/>
  <c r="AF45" i="8"/>
  <c r="S112" i="8"/>
  <c r="S115" i="8" s="1"/>
  <c r="T109" i="8" s="1"/>
  <c r="U5" i="11"/>
  <c r="U5" i="12"/>
  <c r="U5" i="10"/>
  <c r="Y4" i="5"/>
  <c r="U5" i="7"/>
  <c r="U5" i="9"/>
  <c r="U5" i="8"/>
  <c r="Y6" i="4"/>
  <c r="Y6" i="5" s="1"/>
  <c r="U8" i="13"/>
  <c r="U62" i="13" s="1"/>
  <c r="AB70" i="12"/>
  <c r="AB33" i="12"/>
  <c r="AF125" i="8"/>
  <c r="AF23" i="8"/>
  <c r="AF46" i="8"/>
  <c r="AE52" i="8"/>
  <c r="AG11" i="11"/>
  <c r="AG10" i="12"/>
  <c r="AG10" i="10"/>
  <c r="AG11" i="9"/>
  <c r="AG11" i="8"/>
  <c r="AK10" i="5"/>
  <c r="N17" i="4"/>
  <c r="AK18" i="5"/>
  <c r="AK20" i="5"/>
  <c r="AK21" i="5"/>
  <c r="AK19" i="5"/>
  <c r="AG10" i="11"/>
  <c r="AG10" i="9"/>
  <c r="AG10" i="8"/>
  <c r="AG10" i="7"/>
  <c r="I11" i="7" s="1"/>
  <c r="N16" i="4"/>
  <c r="AG44" i="8"/>
  <c r="AG24" i="8"/>
  <c r="AG41" i="8"/>
  <c r="AG42" i="8" s="1"/>
  <c r="AF81" i="8"/>
  <c r="AF57" i="7"/>
  <c r="AF83" i="8"/>
  <c r="AF65" i="8"/>
  <c r="AF82" i="8"/>
  <c r="U4" i="11"/>
  <c r="Y3" i="5"/>
  <c r="Y7" i="4"/>
  <c r="Y7" i="5" s="1"/>
  <c r="U4" i="10"/>
  <c r="U4" i="9"/>
  <c r="U4" i="8"/>
  <c r="U4" i="12"/>
  <c r="U4" i="7"/>
  <c r="Z2" i="4"/>
  <c r="U7" i="13"/>
  <c r="Y5" i="4"/>
  <c r="Y5" i="5" s="1"/>
  <c r="AF34" i="9"/>
  <c r="AF35" i="9"/>
  <c r="AG64" i="8" l="1"/>
  <c r="I64" i="8" s="1"/>
  <c r="AG33" i="8"/>
  <c r="AF26" i="8"/>
  <c r="AD27" i="9"/>
  <c r="AG25" i="8"/>
  <c r="AD68" i="12"/>
  <c r="AF72" i="7"/>
  <c r="AF36" i="10" s="1"/>
  <c r="AF73" i="7"/>
  <c r="AF45" i="10" s="1"/>
  <c r="AF70" i="7"/>
  <c r="AF71" i="7"/>
  <c r="AF27" i="10" s="1"/>
  <c r="AF74" i="7"/>
  <c r="AE75" i="7"/>
  <c r="AE58" i="7" s="1"/>
  <c r="AE70" i="9" s="1"/>
  <c r="AE18" i="10"/>
  <c r="T110" i="8"/>
  <c r="T111" i="8" s="1"/>
  <c r="AG57" i="7"/>
  <c r="AG65" i="8"/>
  <c r="I65" i="8" s="1"/>
  <c r="AG83" i="8"/>
  <c r="I83" i="8" s="1"/>
  <c r="AG82" i="8"/>
  <c r="I82" i="8" s="1"/>
  <c r="AG34" i="9"/>
  <c r="AG35" i="9"/>
  <c r="AC70" i="12"/>
  <c r="AC33" i="12"/>
  <c r="AG125" i="8"/>
  <c r="AG23" i="8"/>
  <c r="AG46" i="8"/>
  <c r="I46" i="8" s="1"/>
  <c r="AF52" i="8"/>
  <c r="AG45" i="8"/>
  <c r="AD71" i="9"/>
  <c r="V3" i="12"/>
  <c r="V3" i="11"/>
  <c r="V3" i="10"/>
  <c r="V3" i="9"/>
  <c r="V3" i="8"/>
  <c r="V3" i="7"/>
  <c r="Z4" i="4"/>
  <c r="Z3" i="4"/>
  <c r="Z2" i="5"/>
  <c r="V6" i="13"/>
  <c r="AG26" i="8" l="1"/>
  <c r="AE68" i="12"/>
  <c r="AF75" i="7"/>
  <c r="AF58" i="7" s="1"/>
  <c r="AF68" i="12" s="1"/>
  <c r="AF18" i="10"/>
  <c r="AG70" i="7"/>
  <c r="AG72" i="7"/>
  <c r="AG36" i="10" s="1"/>
  <c r="I36" i="10" s="1"/>
  <c r="G37" i="10" s="1"/>
  <c r="K39" i="10" s="1"/>
  <c r="AG73" i="7"/>
  <c r="AG45" i="10" s="1"/>
  <c r="I45" i="10" s="1"/>
  <c r="G46" i="10" s="1"/>
  <c r="K48" i="10" s="1"/>
  <c r="AG71" i="7"/>
  <c r="AG27" i="10" s="1"/>
  <c r="I27" i="10" s="1"/>
  <c r="G28" i="10" s="1"/>
  <c r="K30" i="10" s="1"/>
  <c r="AG74" i="7"/>
  <c r="AE27" i="9"/>
  <c r="AG81" i="8"/>
  <c r="I81" i="8" s="1"/>
  <c r="I45" i="8"/>
  <c r="AE71" i="9"/>
  <c r="AD33" i="12"/>
  <c r="AD70" i="12"/>
  <c r="AG52" i="8"/>
  <c r="I52" i="8" s="1"/>
  <c r="I23" i="8"/>
  <c r="V5" i="11"/>
  <c r="V5" i="12"/>
  <c r="Z4" i="5"/>
  <c r="V5" i="9"/>
  <c r="V5" i="8"/>
  <c r="V5" i="10"/>
  <c r="V5" i="7"/>
  <c r="Z6" i="4"/>
  <c r="Z6" i="5" s="1"/>
  <c r="V8" i="13"/>
  <c r="V62" i="13" s="1"/>
  <c r="T112" i="8"/>
  <c r="T115" i="8" s="1"/>
  <c r="U109" i="8" s="1"/>
  <c r="V4" i="12"/>
  <c r="V4" i="11"/>
  <c r="V4" i="10"/>
  <c r="V4" i="9"/>
  <c r="V4" i="8"/>
  <c r="V4" i="7"/>
  <c r="Z5" i="4"/>
  <c r="Z5" i="5" s="1"/>
  <c r="AA2" i="4"/>
  <c r="V7" i="13"/>
  <c r="Z7" i="4"/>
  <c r="Z7" i="5" s="1"/>
  <c r="Z3" i="5"/>
  <c r="AF70" i="9" l="1"/>
  <c r="AF27" i="9"/>
  <c r="AG18" i="10"/>
  <c r="I18" i="10" s="1"/>
  <c r="G19" i="10" s="1"/>
  <c r="K21" i="10" s="1"/>
  <c r="AG75" i="7"/>
  <c r="AF71" i="9"/>
  <c r="K40" i="10"/>
  <c r="L38" i="10" s="1"/>
  <c r="U110" i="8"/>
  <c r="U111" i="8" s="1"/>
  <c r="K49" i="10"/>
  <c r="L47" i="10" s="1"/>
  <c r="W3" i="11"/>
  <c r="W3" i="10"/>
  <c r="W3" i="9"/>
  <c r="W3" i="8"/>
  <c r="W3" i="7"/>
  <c r="W3" i="12"/>
  <c r="AA2" i="5"/>
  <c r="AA3" i="4"/>
  <c r="W6" i="13"/>
  <c r="AA4" i="4"/>
  <c r="AE33" i="12"/>
  <c r="AE70" i="12"/>
  <c r="K31" i="10"/>
  <c r="L29" i="10" s="1"/>
  <c r="AG58" i="7" l="1"/>
  <c r="H76" i="7"/>
  <c r="W5" i="12"/>
  <c r="W5" i="10"/>
  <c r="W5" i="9"/>
  <c r="W5" i="8"/>
  <c r="W5" i="7"/>
  <c r="W5" i="11"/>
  <c r="AA6" i="4"/>
  <c r="AA6" i="5" s="1"/>
  <c r="W8" i="13"/>
  <c r="W62" i="13" s="1"/>
  <c r="AA4" i="5"/>
  <c r="U112" i="8"/>
  <c r="U115" i="8" s="1"/>
  <c r="V109" i="8" s="1"/>
  <c r="W4" i="12"/>
  <c r="W4" i="11"/>
  <c r="W4" i="10"/>
  <c r="W4" i="9"/>
  <c r="W4" i="8"/>
  <c r="W4" i="7"/>
  <c r="AA5" i="4"/>
  <c r="AA5" i="5" s="1"/>
  <c r="AB2" i="4"/>
  <c r="AA3" i="5"/>
  <c r="AA7" i="4"/>
  <c r="AA7" i="5" s="1"/>
  <c r="W7" i="13"/>
  <c r="AF70" i="12"/>
  <c r="AF33" i="12"/>
  <c r="L39" i="10"/>
  <c r="L40" i="10" s="1"/>
  <c r="M38" i="10" s="1"/>
  <c r="L30" i="10"/>
  <c r="L48" i="10"/>
  <c r="K22" i="10"/>
  <c r="I58" i="7" l="1"/>
  <c r="AG68" i="12"/>
  <c r="AG27" i="9"/>
  <c r="I27" i="9" s="1"/>
  <c r="AG70" i="9"/>
  <c r="V110" i="8"/>
  <c r="V111" i="8" s="1"/>
  <c r="V112" i="8" s="1"/>
  <c r="X3" i="11"/>
  <c r="X3" i="12"/>
  <c r="X3" i="10"/>
  <c r="X3" i="7"/>
  <c r="AB2" i="5"/>
  <c r="AB3" i="4"/>
  <c r="AB4" i="4"/>
  <c r="X3" i="9"/>
  <c r="X3" i="8"/>
  <c r="X6" i="13"/>
  <c r="M39" i="10"/>
  <c r="L20" i="10"/>
  <c r="L49" i="10"/>
  <c r="M47" i="10" s="1"/>
  <c r="L31" i="10"/>
  <c r="M29" i="10" s="1"/>
  <c r="G17" i="9" l="1"/>
  <c r="K15" i="1"/>
  <c r="AG71" i="9"/>
  <c r="I70" i="9"/>
  <c r="M40" i="10"/>
  <c r="N38" i="10" s="1"/>
  <c r="M30" i="10"/>
  <c r="L21" i="10"/>
  <c r="X5" i="12"/>
  <c r="X5" i="11"/>
  <c r="X5" i="10"/>
  <c r="X5" i="9"/>
  <c r="X5" i="8"/>
  <c r="X5" i="7"/>
  <c r="AB6" i="4"/>
  <c r="AB6" i="5" s="1"/>
  <c r="AB4" i="5"/>
  <c r="X8" i="13"/>
  <c r="X62" i="13" s="1"/>
  <c r="M48" i="10"/>
  <c r="X4" i="11"/>
  <c r="X4" i="10"/>
  <c r="X4" i="12"/>
  <c r="X4" i="9"/>
  <c r="X4" i="8"/>
  <c r="AC2" i="4"/>
  <c r="X4" i="7"/>
  <c r="AB3" i="5"/>
  <c r="AB7" i="4"/>
  <c r="AB7" i="5" s="1"/>
  <c r="AB5" i="4"/>
  <c r="AB5" i="5" s="1"/>
  <c r="X7" i="13"/>
  <c r="V113" i="8"/>
  <c r="V114" i="8" s="1"/>
  <c r="G118" i="8" s="1"/>
  <c r="AG70" i="12" l="1"/>
  <c r="AG33" i="12"/>
  <c r="I71" i="9"/>
  <c r="G21" i="9"/>
  <c r="G20" i="9"/>
  <c r="K16" i="1" s="1"/>
  <c r="V115" i="8"/>
  <c r="M49" i="10"/>
  <c r="N47" i="10" s="1"/>
  <c r="L22" i="10"/>
  <c r="Y3" i="12"/>
  <c r="Y3" i="11"/>
  <c r="Y3" i="9"/>
  <c r="Y3" i="8"/>
  <c r="Y3" i="7"/>
  <c r="AC2" i="5"/>
  <c r="AC3" i="4"/>
  <c r="AC4" i="4"/>
  <c r="Y3" i="10"/>
  <c r="Y6" i="13"/>
  <c r="M31" i="10"/>
  <c r="N29" i="10" s="1"/>
  <c r="N39" i="10"/>
  <c r="N40" i="10" s="1"/>
  <c r="O38" i="10" s="1"/>
  <c r="AB28" i="9" l="1"/>
  <c r="AD28" i="9"/>
  <c r="N28" i="9"/>
  <c r="Y28" i="9"/>
  <c r="AA28" i="9"/>
  <c r="X28" i="9"/>
  <c r="AE28" i="9"/>
  <c r="K17" i="1"/>
  <c r="Z28" i="9"/>
  <c r="G54" i="9"/>
  <c r="U28" i="9"/>
  <c r="S28" i="9"/>
  <c r="P28" i="9"/>
  <c r="O28" i="9"/>
  <c r="L28" i="9"/>
  <c r="V28" i="9"/>
  <c r="AG28" i="9"/>
  <c r="Q28" i="9"/>
  <c r="K28" i="9"/>
  <c r="W28" i="9"/>
  <c r="G24" i="9"/>
  <c r="G53" i="9"/>
  <c r="K52" i="9" s="1"/>
  <c r="K59" i="9" s="1"/>
  <c r="R28" i="9"/>
  <c r="AC28" i="9"/>
  <c r="M28" i="9"/>
  <c r="AF28" i="9"/>
  <c r="T28" i="9"/>
  <c r="L43" i="8"/>
  <c r="L80" i="8" s="1"/>
  <c r="L82" i="12"/>
  <c r="L54" i="8"/>
  <c r="L70" i="8" s="1"/>
  <c r="L96" i="8"/>
  <c r="L83" i="13"/>
  <c r="L27" i="8"/>
  <c r="L62" i="8"/>
  <c r="L28" i="8"/>
  <c r="L84" i="8" s="1"/>
  <c r="X62" i="8"/>
  <c r="X96" i="8"/>
  <c r="X43" i="8"/>
  <c r="X80" i="8" s="1"/>
  <c r="X28" i="8"/>
  <c r="X84" i="8" s="1"/>
  <c r="X83" i="13"/>
  <c r="X82" i="12"/>
  <c r="X54" i="8"/>
  <c r="X70" i="8" s="1"/>
  <c r="X27" i="8"/>
  <c r="V62" i="8"/>
  <c r="V63" i="8" s="1"/>
  <c r="V66" i="8" s="1"/>
  <c r="V27" i="8"/>
  <c r="V96" i="8"/>
  <c r="V82" i="12"/>
  <c r="V28" i="8"/>
  <c r="V84" i="8" s="1"/>
  <c r="V43" i="8"/>
  <c r="V80" i="8" s="1"/>
  <c r="V54" i="8"/>
  <c r="V70" i="8" s="1"/>
  <c r="V71" i="8" s="1"/>
  <c r="V89" i="8" s="1"/>
  <c r="V17" i="12" s="1"/>
  <c r="V87" i="13" s="1"/>
  <c r="V83" i="13"/>
  <c r="O62" i="8"/>
  <c r="O63" i="8" s="1"/>
  <c r="O66" i="8" s="1"/>
  <c r="O96" i="8"/>
  <c r="O28" i="8"/>
  <c r="O84" i="8" s="1"/>
  <c r="O82" i="12"/>
  <c r="O54" i="8"/>
  <c r="O70" i="8" s="1"/>
  <c r="O43" i="8"/>
  <c r="O80" i="8" s="1"/>
  <c r="O83" i="13"/>
  <c r="O27" i="8"/>
  <c r="AE43" i="8"/>
  <c r="AE80" i="8" s="1"/>
  <c r="AE62" i="8"/>
  <c r="AE54" i="8"/>
  <c r="AE70" i="8" s="1"/>
  <c r="AE96" i="8"/>
  <c r="AE27" i="8"/>
  <c r="AE28" i="8"/>
  <c r="AE84" i="8" s="1"/>
  <c r="AE82" i="12"/>
  <c r="AE83" i="13"/>
  <c r="AB43" i="8"/>
  <c r="AB80" i="8" s="1"/>
  <c r="AB28" i="8"/>
  <c r="AB84" i="8" s="1"/>
  <c r="AB62" i="8"/>
  <c r="AB82" i="12"/>
  <c r="AB54" i="8"/>
  <c r="AB70" i="8" s="1"/>
  <c r="AB96" i="8"/>
  <c r="AB83" i="13"/>
  <c r="AB27" i="8"/>
  <c r="AF43" i="8"/>
  <c r="AF80" i="8" s="1"/>
  <c r="AF28" i="8"/>
  <c r="AF84" i="8" s="1"/>
  <c r="AF27" i="8"/>
  <c r="AF82" i="12"/>
  <c r="AF54" i="8"/>
  <c r="AF70" i="8" s="1"/>
  <c r="AF96" i="8"/>
  <c r="AF83" i="13"/>
  <c r="AF62" i="8"/>
  <c r="T62" i="8"/>
  <c r="T63" i="8" s="1"/>
  <c r="T66" i="8" s="1"/>
  <c r="T43" i="8"/>
  <c r="T80" i="8" s="1"/>
  <c r="T96" i="8"/>
  <c r="T28" i="8"/>
  <c r="T84" i="8" s="1"/>
  <c r="T27" i="8"/>
  <c r="T83" i="13"/>
  <c r="T82" i="12"/>
  <c r="T54" i="8"/>
  <c r="T70" i="8" s="1"/>
  <c r="Q43" i="8"/>
  <c r="Q80" i="8" s="1"/>
  <c r="Q27" i="8"/>
  <c r="Q54" i="8"/>
  <c r="Q70" i="8" s="1"/>
  <c r="Q83" i="13"/>
  <c r="Q28" i="8"/>
  <c r="Q84" i="8" s="1"/>
  <c r="Q96" i="8"/>
  <c r="Q62" i="8"/>
  <c r="Q82" i="12"/>
  <c r="AC43" i="8"/>
  <c r="AC80" i="8" s="1"/>
  <c r="AC82" i="12"/>
  <c r="AC28" i="8"/>
  <c r="AC84" i="8" s="1"/>
  <c r="AC62" i="8"/>
  <c r="AC54" i="8"/>
  <c r="AC70" i="8" s="1"/>
  <c r="AC83" i="13"/>
  <c r="AC27" i="8"/>
  <c r="AC96" i="8"/>
  <c r="N43" i="8"/>
  <c r="N80" i="8" s="1"/>
  <c r="N27" i="8"/>
  <c r="N62" i="8"/>
  <c r="N82" i="12"/>
  <c r="N28" i="8"/>
  <c r="N84" i="8" s="1"/>
  <c r="G80" i="13" s="1"/>
  <c r="N83" i="13"/>
  <c r="N54" i="8"/>
  <c r="N70" i="8" s="1"/>
  <c r="N71" i="8" s="1"/>
  <c r="K24" i="1"/>
  <c r="N96" i="8"/>
  <c r="AD43" i="8"/>
  <c r="AD80" i="8" s="1"/>
  <c r="AD54" i="8"/>
  <c r="AD70" i="8" s="1"/>
  <c r="AD83" i="13"/>
  <c r="AD96" i="8"/>
  <c r="AD27" i="8"/>
  <c r="AD82" i="12"/>
  <c r="AD28" i="8"/>
  <c r="AD84" i="8" s="1"/>
  <c r="AD62" i="8"/>
  <c r="W82" i="12"/>
  <c r="W54" i="8"/>
  <c r="W70" i="8" s="1"/>
  <c r="W27" i="8"/>
  <c r="W96" i="8"/>
  <c r="W83" i="13"/>
  <c r="W43" i="8"/>
  <c r="W80" i="8" s="1"/>
  <c r="W62" i="8"/>
  <c r="W28" i="8"/>
  <c r="W84" i="8" s="1"/>
  <c r="M43" i="8"/>
  <c r="M80" i="8" s="1"/>
  <c r="M54" i="8"/>
  <c r="M70" i="8" s="1"/>
  <c r="M83" i="13"/>
  <c r="M96" i="8"/>
  <c r="M28" i="8"/>
  <c r="M84" i="8" s="1"/>
  <c r="M62" i="8"/>
  <c r="M27" i="8"/>
  <c r="M82" i="12"/>
  <c r="U28" i="8"/>
  <c r="U84" i="8" s="1"/>
  <c r="U43" i="8"/>
  <c r="U80" i="8" s="1"/>
  <c r="U27" i="8"/>
  <c r="U54" i="8"/>
  <c r="U70" i="8" s="1"/>
  <c r="U83" i="13"/>
  <c r="U82" i="12"/>
  <c r="U96" i="8"/>
  <c r="U62" i="8"/>
  <c r="U63" i="8" s="1"/>
  <c r="U66" i="8" s="1"/>
  <c r="Z54" i="8"/>
  <c r="Z70" i="8" s="1"/>
  <c r="Z28" i="8"/>
  <c r="Z84" i="8" s="1"/>
  <c r="Z96" i="8"/>
  <c r="Z27" i="8"/>
  <c r="Z83" i="13"/>
  <c r="Z82" i="12"/>
  <c r="Z62" i="8"/>
  <c r="Z63" i="8" s="1"/>
  <c r="Z66" i="8" s="1"/>
  <c r="Z43" i="8"/>
  <c r="Z80" i="8" s="1"/>
  <c r="S43" i="8"/>
  <c r="S80" i="8" s="1"/>
  <c r="S96" i="8"/>
  <c r="S83" i="13"/>
  <c r="S28" i="8"/>
  <c r="S84" i="8" s="1"/>
  <c r="S82" i="12"/>
  <c r="S62" i="8"/>
  <c r="S27" i="8"/>
  <c r="S54" i="8"/>
  <c r="S70" i="8" s="1"/>
  <c r="S71" i="8" s="1"/>
  <c r="S89" i="8" s="1"/>
  <c r="S17" i="12" s="1"/>
  <c r="S87" i="13" s="1"/>
  <c r="Y43" i="8"/>
  <c r="Y80" i="8" s="1"/>
  <c r="Y82" i="12"/>
  <c r="Y28" i="8"/>
  <c r="Y84" i="8" s="1"/>
  <c r="Y54" i="8"/>
  <c r="Y70" i="8" s="1"/>
  <c r="Y71" i="8" s="1"/>
  <c r="Y89" i="8" s="1"/>
  <c r="Y17" i="12" s="1"/>
  <c r="Y87" i="13" s="1"/>
  <c r="Y83" i="13"/>
  <c r="Y62" i="8"/>
  <c r="Y96" i="8"/>
  <c r="Y27" i="8"/>
  <c r="AG43" i="8"/>
  <c r="AG80" i="8" s="1"/>
  <c r="AG27" i="8"/>
  <c r="AG54" i="8"/>
  <c r="AG70" i="8" s="1"/>
  <c r="AG71" i="8" s="1"/>
  <c r="AG89" i="8" s="1"/>
  <c r="AG17" i="12" s="1"/>
  <c r="AG87" i="13" s="1"/>
  <c r="AG83" i="13"/>
  <c r="AG96" i="8"/>
  <c r="AG62" i="8"/>
  <c r="AG82" i="12"/>
  <c r="AG28" i="8"/>
  <c r="AG84" i="8" s="1"/>
  <c r="P62" i="8"/>
  <c r="P63" i="8" s="1"/>
  <c r="P66" i="8" s="1"/>
  <c r="P43" i="8"/>
  <c r="P80" i="8" s="1"/>
  <c r="P28" i="8"/>
  <c r="P84" i="8" s="1"/>
  <c r="P27" i="8"/>
  <c r="P82" i="12"/>
  <c r="P54" i="8"/>
  <c r="P70" i="8" s="1"/>
  <c r="P71" i="8" s="1"/>
  <c r="P89" i="8" s="1"/>
  <c r="P17" i="12" s="1"/>
  <c r="P87" i="13" s="1"/>
  <c r="P96" i="8"/>
  <c r="P83" i="13"/>
  <c r="R43" i="8"/>
  <c r="R80" i="8" s="1"/>
  <c r="R28" i="8"/>
  <c r="R84" i="8" s="1"/>
  <c r="R62" i="8"/>
  <c r="R82" i="12"/>
  <c r="R54" i="8"/>
  <c r="R70" i="8" s="1"/>
  <c r="R96" i="8"/>
  <c r="R83" i="13"/>
  <c r="R27" i="8"/>
  <c r="K27" i="8"/>
  <c r="K28" i="8"/>
  <c r="K43" i="8"/>
  <c r="K80" i="8" s="1"/>
  <c r="K82" i="12"/>
  <c r="K54" i="8"/>
  <c r="K62" i="8"/>
  <c r="K96" i="8"/>
  <c r="K83" i="13"/>
  <c r="H14" i="8"/>
  <c r="I26" i="8"/>
  <c r="AA28" i="8"/>
  <c r="AA84" i="8" s="1"/>
  <c r="AA27" i="8"/>
  <c r="AA43" i="8"/>
  <c r="AA80" i="8" s="1"/>
  <c r="AA82" i="12"/>
  <c r="AA54" i="8"/>
  <c r="AA70" i="8" s="1"/>
  <c r="AA96" i="8"/>
  <c r="AA83" i="13"/>
  <c r="AA62" i="8"/>
  <c r="AA63" i="8" s="1"/>
  <c r="AA66" i="8" s="1"/>
  <c r="Y5" i="11"/>
  <c r="Y5" i="10"/>
  <c r="Y5" i="12"/>
  <c r="Y5" i="9"/>
  <c r="Y5" i="8"/>
  <c r="Y5" i="7"/>
  <c r="AC4" i="5"/>
  <c r="AC6" i="4"/>
  <c r="AC6" i="5" s="1"/>
  <c r="Y8" i="13"/>
  <c r="Y62" i="13" s="1"/>
  <c r="N48" i="10"/>
  <c r="N49" i="10" s="1"/>
  <c r="O47" i="10" s="1"/>
  <c r="N30" i="10"/>
  <c r="N31" i="10" s="1"/>
  <c r="O29" i="10" s="1"/>
  <c r="O39" i="10"/>
  <c r="O40" i="10" s="1"/>
  <c r="P38" i="10" s="1"/>
  <c r="M20" i="10"/>
  <c r="Y4" i="11"/>
  <c r="Y4" i="12"/>
  <c r="Y4" i="10"/>
  <c r="Y4" i="7"/>
  <c r="AC3" i="5"/>
  <c r="AC7" i="4"/>
  <c r="AC7" i="5" s="1"/>
  <c r="Y4" i="8"/>
  <c r="AC5" i="4"/>
  <c r="AC5" i="5" s="1"/>
  <c r="Y7" i="13"/>
  <c r="AD2" i="4"/>
  <c r="Y4" i="9"/>
  <c r="I33" i="8"/>
  <c r="K41" i="9" l="1"/>
  <c r="K36" i="12"/>
  <c r="W40" i="9"/>
  <c r="W72" i="9"/>
  <c r="Y72" i="9"/>
  <c r="Y40" i="9"/>
  <c r="T72" i="9"/>
  <c r="T40" i="9"/>
  <c r="R40" i="9"/>
  <c r="R72" i="9"/>
  <c r="K72" i="9"/>
  <c r="I28" i="9"/>
  <c r="K40" i="9"/>
  <c r="K42" i="9" s="1"/>
  <c r="L40" i="9"/>
  <c r="L72" i="9"/>
  <c r="U72" i="9"/>
  <c r="U40" i="9"/>
  <c r="AE72" i="9"/>
  <c r="AE40" i="9"/>
  <c r="N72" i="9"/>
  <c r="N40" i="9"/>
  <c r="AC72" i="9"/>
  <c r="AC40" i="9"/>
  <c r="V72" i="9"/>
  <c r="V40" i="9"/>
  <c r="S40" i="9"/>
  <c r="S72" i="9"/>
  <c r="AF72" i="9"/>
  <c r="AF40" i="9"/>
  <c r="Q72" i="9"/>
  <c r="Q40" i="9"/>
  <c r="O72" i="9"/>
  <c r="O40" i="9"/>
  <c r="X40" i="9"/>
  <c r="X72" i="9"/>
  <c r="AD40" i="9"/>
  <c r="AD72" i="9"/>
  <c r="M40" i="9"/>
  <c r="M72" i="9"/>
  <c r="AG40" i="9"/>
  <c r="AG72" i="9"/>
  <c r="P72" i="9"/>
  <c r="P40" i="9"/>
  <c r="Z40" i="9"/>
  <c r="Z72" i="9"/>
  <c r="AA72" i="9"/>
  <c r="AA40" i="9"/>
  <c r="AB40" i="9"/>
  <c r="AB72" i="9"/>
  <c r="K47" i="8"/>
  <c r="K97" i="8" s="1"/>
  <c r="I43" i="8"/>
  <c r="R63" i="8"/>
  <c r="R66" i="8" s="1"/>
  <c r="Z86" i="12"/>
  <c r="Z16" i="12"/>
  <c r="Z88" i="8"/>
  <c r="U53" i="8"/>
  <c r="U84" i="13"/>
  <c r="W63" i="8"/>
  <c r="W66" i="8" s="1"/>
  <c r="W53" i="8"/>
  <c r="W84" i="13"/>
  <c r="AB84" i="13"/>
  <c r="AB53" i="8"/>
  <c r="O84" i="13"/>
  <c r="O53" i="8"/>
  <c r="AA86" i="12"/>
  <c r="AA88" i="8"/>
  <c r="AA16" i="12"/>
  <c r="K63" i="8"/>
  <c r="K66" i="8" s="1"/>
  <c r="I62" i="8"/>
  <c r="K84" i="8"/>
  <c r="I84" i="8" s="1"/>
  <c r="I28" i="8"/>
  <c r="P47" i="8"/>
  <c r="P97" i="8" s="1"/>
  <c r="P85" i="8"/>
  <c r="AG63" i="8"/>
  <c r="AG66" i="8" s="1"/>
  <c r="Y63" i="8"/>
  <c r="Y66" i="8" s="1"/>
  <c r="S63" i="8"/>
  <c r="S66" i="8" s="1"/>
  <c r="M63" i="8"/>
  <c r="M66" i="8" s="1"/>
  <c r="M71" i="8"/>
  <c r="M89" i="8" s="1"/>
  <c r="M17" i="12" s="1"/>
  <c r="M87" i="13" s="1"/>
  <c r="W71" i="8"/>
  <c r="W89" i="8" s="1"/>
  <c r="W17" i="12" s="1"/>
  <c r="W87" i="13" s="1"/>
  <c r="AD71" i="8"/>
  <c r="AD89" i="8" s="1"/>
  <c r="AD17" i="12" s="1"/>
  <c r="AD87" i="13" s="1"/>
  <c r="Q71" i="8"/>
  <c r="Q89" i="8" s="1"/>
  <c r="Q17" i="12" s="1"/>
  <c r="Q87" i="13" s="1"/>
  <c r="L63" i="8"/>
  <c r="L66" i="8" s="1"/>
  <c r="K70" i="8"/>
  <c r="I54" i="8"/>
  <c r="K53" i="8"/>
  <c r="K84" i="13"/>
  <c r="I27" i="8"/>
  <c r="R71" i="8"/>
  <c r="R89" i="8" s="1"/>
  <c r="R17" i="12" s="1"/>
  <c r="R87" i="13" s="1"/>
  <c r="R85" i="8"/>
  <c r="R47" i="8"/>
  <c r="R97" i="8" s="1"/>
  <c r="P88" i="8"/>
  <c r="P86" i="12"/>
  <c r="P16" i="12"/>
  <c r="AG47" i="8"/>
  <c r="AG85" i="8"/>
  <c r="Y85" i="8"/>
  <c r="Y47" i="8"/>
  <c r="Y97" i="8" s="1"/>
  <c r="S85" i="8"/>
  <c r="S47" i="8"/>
  <c r="S97" i="8" s="1"/>
  <c r="Z71" i="8"/>
  <c r="Z89" i="8" s="1"/>
  <c r="Z17" i="12" s="1"/>
  <c r="Z87" i="13" s="1"/>
  <c r="M47" i="8"/>
  <c r="M97" i="8" s="1"/>
  <c r="M85" i="8"/>
  <c r="AD53" i="8"/>
  <c r="AD84" i="13"/>
  <c r="AD85" i="8"/>
  <c r="AD47" i="8"/>
  <c r="AD97" i="8" s="1"/>
  <c r="N53" i="8"/>
  <c r="K25" i="1"/>
  <c r="N84" i="13"/>
  <c r="Q53" i="8"/>
  <c r="Q84" i="13"/>
  <c r="T85" i="8"/>
  <c r="T47" i="8"/>
  <c r="T97" i="8" s="1"/>
  <c r="AE63" i="8"/>
  <c r="AE66" i="8" s="1"/>
  <c r="O47" i="8"/>
  <c r="O97" i="8" s="1"/>
  <c r="O85" i="8"/>
  <c r="V47" i="8"/>
  <c r="V97" i="8" s="1"/>
  <c r="V85" i="8"/>
  <c r="V84" i="13"/>
  <c r="V53" i="8"/>
  <c r="L84" i="13"/>
  <c r="L53" i="8"/>
  <c r="AA71" i="8"/>
  <c r="AA89" i="8" s="1"/>
  <c r="AA17" i="12" s="1"/>
  <c r="AA87" i="13" s="1"/>
  <c r="S84" i="13"/>
  <c r="S53" i="8"/>
  <c r="M84" i="13"/>
  <c r="M53" i="8"/>
  <c r="AC63" i="8"/>
  <c r="AC66" i="8" s="1"/>
  <c r="T71" i="8"/>
  <c r="T89" i="8" s="1"/>
  <c r="T17" i="12" s="1"/>
  <c r="T87" i="13" s="1"/>
  <c r="AF63" i="8"/>
  <c r="AF66" i="8" s="1"/>
  <c r="X84" i="13"/>
  <c r="X53" i="8"/>
  <c r="AG53" i="8"/>
  <c r="AG84" i="13"/>
  <c r="U47" i="8"/>
  <c r="U97" i="8" s="1"/>
  <c r="U85" i="8"/>
  <c r="W85" i="8"/>
  <c r="W47" i="8"/>
  <c r="W97" i="8" s="1"/>
  <c r="K27" i="1"/>
  <c r="N89" i="8"/>
  <c r="N17" i="12" s="1"/>
  <c r="N87" i="13" s="1"/>
  <c r="N63" i="8"/>
  <c r="N66" i="8" s="1"/>
  <c r="AC53" i="8"/>
  <c r="AC84" i="13"/>
  <c r="Q63" i="8"/>
  <c r="Q66" i="8" s="1"/>
  <c r="AF84" i="13"/>
  <c r="AF53" i="8"/>
  <c r="AB63" i="8"/>
  <c r="AB66" i="8" s="1"/>
  <c r="AE71" i="8"/>
  <c r="AE89" i="8" s="1"/>
  <c r="AE17" i="12" s="1"/>
  <c r="AE87" i="13" s="1"/>
  <c r="X71" i="8"/>
  <c r="X89" i="8" s="1"/>
  <c r="X17" i="12" s="1"/>
  <c r="X87" i="13" s="1"/>
  <c r="X85" i="8"/>
  <c r="X47" i="8"/>
  <c r="X97" i="8" s="1"/>
  <c r="L71" i="8"/>
  <c r="L89" i="8" s="1"/>
  <c r="L17" i="12" s="1"/>
  <c r="L87" i="13" s="1"/>
  <c r="AA47" i="8"/>
  <c r="AA97" i="8" s="1"/>
  <c r="AA85" i="8"/>
  <c r="AA84" i="13"/>
  <c r="AA53" i="8"/>
  <c r="R84" i="13"/>
  <c r="R53" i="8"/>
  <c r="P84" i="13"/>
  <c r="P53" i="8"/>
  <c r="Y53" i="8"/>
  <c r="Y84" i="13"/>
  <c r="Z47" i="8"/>
  <c r="Z97" i="8" s="1"/>
  <c r="Z85" i="8"/>
  <c r="Z84" i="13"/>
  <c r="Z53" i="8"/>
  <c r="U86" i="12"/>
  <c r="U16" i="12"/>
  <c r="U88" i="8"/>
  <c r="U71" i="8"/>
  <c r="U89" i="8" s="1"/>
  <c r="U17" i="12" s="1"/>
  <c r="U87" i="13" s="1"/>
  <c r="AD63" i="8"/>
  <c r="AD66" i="8" s="1"/>
  <c r="N47" i="8"/>
  <c r="N97" i="8" s="1"/>
  <c r="K26" i="1"/>
  <c r="AC71" i="8"/>
  <c r="AC89" i="8" s="1"/>
  <c r="AC17" i="12" s="1"/>
  <c r="AC87" i="13" s="1"/>
  <c r="AC47" i="8"/>
  <c r="AC97" i="8" s="1"/>
  <c r="AC85" i="8"/>
  <c r="Q47" i="8"/>
  <c r="Q97" i="8" s="1"/>
  <c r="Q85" i="8"/>
  <c r="T53" i="8"/>
  <c r="T84" i="13"/>
  <c r="T16" i="12"/>
  <c r="T88" i="13" s="1"/>
  <c r="T88" i="8"/>
  <c r="T86" i="12"/>
  <c r="AF71" i="8"/>
  <c r="AF89" i="8" s="1"/>
  <c r="AF17" i="12" s="1"/>
  <c r="AF87" i="13" s="1"/>
  <c r="AF85" i="8"/>
  <c r="AF47" i="8"/>
  <c r="AF97" i="8" s="1"/>
  <c r="AB71" i="8"/>
  <c r="AB89" i="8" s="1"/>
  <c r="AB17" i="12" s="1"/>
  <c r="AB87" i="13" s="1"/>
  <c r="AB85" i="8"/>
  <c r="AB47" i="8"/>
  <c r="AB97" i="8" s="1"/>
  <c r="AE84" i="13"/>
  <c r="AE53" i="8"/>
  <c r="AE47" i="8"/>
  <c r="AE97" i="8" s="1"/>
  <c r="AE85" i="8"/>
  <c r="O71" i="8"/>
  <c r="O89" i="8" s="1"/>
  <c r="O17" i="12" s="1"/>
  <c r="O87" i="13" s="1"/>
  <c r="O86" i="12"/>
  <c r="O16" i="12"/>
  <c r="O88" i="13" s="1"/>
  <c r="O88" i="8"/>
  <c r="V86" i="12"/>
  <c r="V16" i="12"/>
  <c r="V88" i="8"/>
  <c r="X63" i="8"/>
  <c r="X66" i="8" s="1"/>
  <c r="L85" i="8"/>
  <c r="L47" i="8"/>
  <c r="L97" i="8" s="1"/>
  <c r="Z3" i="12"/>
  <c r="Z3" i="10"/>
  <c r="Z3" i="9"/>
  <c r="Z3" i="8"/>
  <c r="Z3" i="7"/>
  <c r="AD4" i="4"/>
  <c r="Z3" i="11"/>
  <c r="Z6" i="13"/>
  <c r="AD2" i="5"/>
  <c r="AD3" i="4"/>
  <c r="M21" i="10"/>
  <c r="M22" i="10" s="1"/>
  <c r="O30" i="10"/>
  <c r="O31" i="10" s="1"/>
  <c r="P29" i="10" s="1"/>
  <c r="O48" i="10"/>
  <c r="O49" i="10" s="1"/>
  <c r="P47" i="10" s="1"/>
  <c r="K60" i="9"/>
  <c r="K101" i="13" s="1"/>
  <c r="P39" i="10"/>
  <c r="P40" i="10" s="1"/>
  <c r="Q38" i="10" s="1"/>
  <c r="H56" i="8" l="1" a="1"/>
  <c r="H56" i="8" s="1"/>
  <c r="L39" i="9"/>
  <c r="L46" i="9" s="1"/>
  <c r="L47" i="9" s="1"/>
  <c r="K53" i="12"/>
  <c r="AG34" i="12"/>
  <c r="AG50" i="9"/>
  <c r="R34" i="12"/>
  <c r="R50" i="9"/>
  <c r="O50" i="9"/>
  <c r="O34" i="12"/>
  <c r="AF50" i="9"/>
  <c r="AF34" i="12"/>
  <c r="Y50" i="9"/>
  <c r="Y34" i="12"/>
  <c r="M50" i="9"/>
  <c r="M34" i="12"/>
  <c r="X34" i="12"/>
  <c r="X50" i="9"/>
  <c r="V50" i="9"/>
  <c r="V34" i="12"/>
  <c r="N50" i="9"/>
  <c r="N34" i="12"/>
  <c r="U34" i="12"/>
  <c r="U50" i="9"/>
  <c r="W50" i="9"/>
  <c r="W34" i="12"/>
  <c r="AB50" i="9"/>
  <c r="AB34" i="12"/>
  <c r="Z50" i="9"/>
  <c r="Z34" i="12"/>
  <c r="AD34" i="12"/>
  <c r="AD50" i="9"/>
  <c r="AC34" i="12"/>
  <c r="AC50" i="9"/>
  <c r="AE34" i="12"/>
  <c r="AE50" i="9"/>
  <c r="AA34" i="12"/>
  <c r="AA50" i="9"/>
  <c r="P50" i="9"/>
  <c r="P34" i="12"/>
  <c r="Q34" i="12"/>
  <c r="Q50" i="9"/>
  <c r="S34" i="12"/>
  <c r="S50" i="9"/>
  <c r="L34" i="12"/>
  <c r="L50" i="9"/>
  <c r="K34" i="12"/>
  <c r="I72" i="9"/>
  <c r="K50" i="9"/>
  <c r="T34" i="12"/>
  <c r="T50" i="9"/>
  <c r="V88" i="13"/>
  <c r="AF87" i="12"/>
  <c r="AF90" i="8"/>
  <c r="AF18" i="12"/>
  <c r="AF81" i="12"/>
  <c r="N86" i="12"/>
  <c r="N16" i="12"/>
  <c r="N88" i="8"/>
  <c r="I53" i="8"/>
  <c r="P18" i="12"/>
  <c r="P19" i="12" s="1"/>
  <c r="P87" i="12"/>
  <c r="P88" i="12" s="1"/>
  <c r="P90" i="8"/>
  <c r="P91" i="8" s="1"/>
  <c r="P81" i="12"/>
  <c r="U81" i="12"/>
  <c r="U87" i="12"/>
  <c r="U88" i="12" s="1"/>
  <c r="U18" i="12"/>
  <c r="U19" i="12" s="1"/>
  <c r="U90" i="8"/>
  <c r="U91" i="8" s="1"/>
  <c r="AD90" i="8"/>
  <c r="AD81" i="12"/>
  <c r="AD87" i="12"/>
  <c r="AD18" i="12"/>
  <c r="S90" i="8"/>
  <c r="S87" i="12"/>
  <c r="S18" i="12"/>
  <c r="S81" i="12"/>
  <c r="K71" i="8"/>
  <c r="I70" i="8"/>
  <c r="M86" i="12"/>
  <c r="M16" i="12"/>
  <c r="M88" i="13" s="1"/>
  <c r="M88" i="8"/>
  <c r="Y16" i="12"/>
  <c r="Y88" i="8"/>
  <c r="Y86" i="12"/>
  <c r="AC18" i="12"/>
  <c r="AC81" i="12"/>
  <c r="AC87" i="12"/>
  <c r="AC90" i="8"/>
  <c r="G76" i="13"/>
  <c r="N85" i="8"/>
  <c r="AD88" i="8"/>
  <c r="AD86" i="12"/>
  <c r="AD16" i="12"/>
  <c r="U88" i="13"/>
  <c r="Z81" i="12"/>
  <c r="Z87" i="12"/>
  <c r="Z88" i="12" s="1"/>
  <c r="Z18" i="12"/>
  <c r="Z19" i="12" s="1"/>
  <c r="Z90" i="8"/>
  <c r="Z91" i="8" s="1"/>
  <c r="X81" i="12"/>
  <c r="X87" i="12"/>
  <c r="X18" i="12"/>
  <c r="X90" i="8"/>
  <c r="T90" i="8"/>
  <c r="T91" i="8" s="1"/>
  <c r="T87" i="12"/>
  <c r="T88" i="12" s="1"/>
  <c r="T18" i="12"/>
  <c r="T19" i="12" s="1"/>
  <c r="T81" i="12"/>
  <c r="P88" i="13"/>
  <c r="R81" i="12"/>
  <c r="R18" i="12"/>
  <c r="R90" i="8"/>
  <c r="R87" i="12"/>
  <c r="L86" i="12"/>
  <c r="L16" i="12"/>
  <c r="L88" i="13" s="1"/>
  <c r="L88" i="8"/>
  <c r="AG86" i="12"/>
  <c r="AG88" i="8"/>
  <c r="AG16" i="12"/>
  <c r="I63" i="8"/>
  <c r="K85" i="8"/>
  <c r="I80" i="8"/>
  <c r="L18" i="12"/>
  <c r="L90" i="8"/>
  <c r="L81" i="12"/>
  <c r="L87" i="12"/>
  <c r="AB87" i="12"/>
  <c r="AB18" i="12"/>
  <c r="AB81" i="12"/>
  <c r="AB90" i="8"/>
  <c r="Q81" i="12"/>
  <c r="Q87" i="12"/>
  <c r="Q18" i="12"/>
  <c r="Q90" i="8"/>
  <c r="AB88" i="8"/>
  <c r="AB86" i="12"/>
  <c r="AB16" i="12"/>
  <c r="W81" i="12"/>
  <c r="W87" i="12"/>
  <c r="W90" i="8"/>
  <c r="W18" i="12"/>
  <c r="AF16" i="12"/>
  <c r="AF86" i="12"/>
  <c r="AF88" i="8"/>
  <c r="M87" i="12"/>
  <c r="M81" i="12"/>
  <c r="M90" i="8"/>
  <c r="M18" i="12"/>
  <c r="AG81" i="12"/>
  <c r="AG18" i="12"/>
  <c r="AG90" i="8"/>
  <c r="AG87" i="12"/>
  <c r="R88" i="8"/>
  <c r="R16" i="12"/>
  <c r="R86" i="12"/>
  <c r="X88" i="8"/>
  <c r="X86" i="12"/>
  <c r="X16" i="12"/>
  <c r="AA81" i="12"/>
  <c r="AA87" i="12"/>
  <c r="AA88" i="12" s="1"/>
  <c r="AA18" i="12"/>
  <c r="AA19" i="12" s="1"/>
  <c r="AA90" i="8"/>
  <c r="AA91" i="8" s="1"/>
  <c r="O81" i="12"/>
  <c r="O90" i="8"/>
  <c r="O91" i="8" s="1"/>
  <c r="O87" i="12"/>
  <c r="O88" i="12" s="1"/>
  <c r="O18" i="12"/>
  <c r="O19" i="12" s="1"/>
  <c r="I47" i="8"/>
  <c r="W16" i="12"/>
  <c r="W86" i="12"/>
  <c r="W88" i="8"/>
  <c r="Z88" i="13"/>
  <c r="AE87" i="12"/>
  <c r="AE90" i="8"/>
  <c r="AE81" i="12"/>
  <c r="AE18" i="12"/>
  <c r="Q16" i="12"/>
  <c r="Q86" i="12"/>
  <c r="Q88" i="8"/>
  <c r="AC88" i="8"/>
  <c r="AC16" i="12"/>
  <c r="AC86" i="12"/>
  <c r="V81" i="12"/>
  <c r="V87" i="12"/>
  <c r="V88" i="12" s="1"/>
  <c r="V18" i="12"/>
  <c r="V19" i="12" s="1"/>
  <c r="V90" i="8"/>
  <c r="V91" i="8" s="1"/>
  <c r="AE88" i="8"/>
  <c r="AE86" i="12"/>
  <c r="AE16" i="12"/>
  <c r="Y90" i="8"/>
  <c r="Y81" i="12"/>
  <c r="Y87" i="12"/>
  <c r="Y18" i="12"/>
  <c r="S16" i="12"/>
  <c r="S88" i="8"/>
  <c r="S86" i="12"/>
  <c r="AG97" i="8"/>
  <c r="AA88" i="13"/>
  <c r="P30" i="10"/>
  <c r="P31" i="10" s="1"/>
  <c r="Q29" i="10" s="1"/>
  <c r="N20" i="10"/>
  <c r="P48" i="10"/>
  <c r="P49" i="10" s="1"/>
  <c r="Q47" i="10" s="1"/>
  <c r="Z4" i="12"/>
  <c r="Z4" i="11"/>
  <c r="Z4" i="9"/>
  <c r="Z4" i="8"/>
  <c r="Z4" i="7"/>
  <c r="Z4" i="10"/>
  <c r="AD5" i="4"/>
  <c r="AD5" i="5" s="1"/>
  <c r="Z7" i="13"/>
  <c r="AD3" i="5"/>
  <c r="AE2" i="4"/>
  <c r="AD7" i="4"/>
  <c r="AD7" i="5" s="1"/>
  <c r="Z5" i="11"/>
  <c r="Z5" i="12"/>
  <c r="Z5" i="10"/>
  <c r="Z5" i="7"/>
  <c r="AD4" i="5"/>
  <c r="AD6" i="4"/>
  <c r="AD6" i="5" s="1"/>
  <c r="Z5" i="9"/>
  <c r="Z5" i="8"/>
  <c r="Z8" i="13"/>
  <c r="Z62" i="13" s="1"/>
  <c r="Q39" i="10"/>
  <c r="Q40" i="10" s="1"/>
  <c r="R38" i="10" s="1"/>
  <c r="Q88" i="12" l="1"/>
  <c r="K54" i="10"/>
  <c r="K62" i="10" s="1"/>
  <c r="K93" i="12" s="1"/>
  <c r="K32" i="12"/>
  <c r="K73" i="9"/>
  <c r="I50" i="9"/>
  <c r="K75" i="9"/>
  <c r="AE88" i="12"/>
  <c r="V89" i="12"/>
  <c r="S91" i="8"/>
  <c r="S18" i="11" s="1"/>
  <c r="M91" i="8"/>
  <c r="M18" i="11" s="1"/>
  <c r="AD91" i="8"/>
  <c r="AD18" i="11" s="1"/>
  <c r="W91" i="8"/>
  <c r="W18" i="11" s="1"/>
  <c r="X88" i="12"/>
  <c r="AC91" i="8"/>
  <c r="AC18" i="11" s="1"/>
  <c r="U89" i="12"/>
  <c r="AE91" i="8"/>
  <c r="Y91" i="8"/>
  <c r="P89" i="12"/>
  <c r="R88" i="12"/>
  <c r="M88" i="12"/>
  <c r="W88" i="12"/>
  <c r="W89" i="12" s="1"/>
  <c r="AB88" i="12"/>
  <c r="AB89" i="12" s="1"/>
  <c r="AG91" i="8"/>
  <c r="AD88" i="12"/>
  <c r="Z18" i="11"/>
  <c r="U91" i="13"/>
  <c r="U66" i="12"/>
  <c r="V66" i="12"/>
  <c r="V91" i="13"/>
  <c r="P91" i="13"/>
  <c r="P66" i="12"/>
  <c r="U18" i="11"/>
  <c r="AA66" i="12"/>
  <c r="AA91" i="13"/>
  <c r="AA18" i="11"/>
  <c r="N88" i="13"/>
  <c r="Q91" i="8"/>
  <c r="R88" i="13"/>
  <c r="R19" i="12"/>
  <c r="K87" i="12"/>
  <c r="K18" i="12"/>
  <c r="K90" i="8"/>
  <c r="K81" i="12"/>
  <c r="H73" i="8"/>
  <c r="I85" i="8"/>
  <c r="AG88" i="13"/>
  <c r="AG19" i="12"/>
  <c r="Z66" i="12"/>
  <c r="Z91" i="13"/>
  <c r="AF88" i="13"/>
  <c r="AF19" i="12"/>
  <c r="K86" i="12"/>
  <c r="K16" i="12"/>
  <c r="K88" i="8"/>
  <c r="I88" i="8" s="1"/>
  <c r="I66" i="8"/>
  <c r="T18" i="11"/>
  <c r="Y88" i="12"/>
  <c r="S88" i="13"/>
  <c r="S19" i="12"/>
  <c r="V18" i="11"/>
  <c r="O66" i="12"/>
  <c r="O91" i="13"/>
  <c r="X19" i="12"/>
  <c r="X88" i="13"/>
  <c r="P18" i="11"/>
  <c r="AB19" i="12"/>
  <c r="AB88" i="13"/>
  <c r="AC88" i="12"/>
  <c r="Q89" i="12"/>
  <c r="W19" i="12"/>
  <c r="W88" i="13"/>
  <c r="R91" i="8"/>
  <c r="M19" i="12"/>
  <c r="AF91" i="8"/>
  <c r="L91" i="8"/>
  <c r="L88" i="12"/>
  <c r="T91" i="13"/>
  <c r="T66" i="12"/>
  <c r="N87" i="12"/>
  <c r="N88" i="12" s="1"/>
  <c r="N18" i="12"/>
  <c r="N19" i="12" s="1"/>
  <c r="N90" i="8"/>
  <c r="N91" i="8" s="1"/>
  <c r="N81" i="12"/>
  <c r="Y19" i="12"/>
  <c r="Y88" i="13"/>
  <c r="S88" i="12"/>
  <c r="T89" i="12" s="1"/>
  <c r="AE88" i="13"/>
  <c r="AE19" i="12"/>
  <c r="AC19" i="12"/>
  <c r="AC88" i="13"/>
  <c r="Q88" i="13"/>
  <c r="Q19" i="12"/>
  <c r="AA89" i="12"/>
  <c r="O18" i="11"/>
  <c r="X91" i="8"/>
  <c r="AF88" i="12"/>
  <c r="AB91" i="8"/>
  <c r="L19" i="12"/>
  <c r="AG88" i="12"/>
  <c r="AD19" i="12"/>
  <c r="AD88" i="13"/>
  <c r="K89" i="8"/>
  <c r="I71" i="8"/>
  <c r="Q48" i="10"/>
  <c r="Q49" i="10" s="1"/>
  <c r="R47" i="10" s="1"/>
  <c r="R39" i="10"/>
  <c r="R40" i="10" s="1"/>
  <c r="S38" i="10" s="1"/>
  <c r="Q30" i="10"/>
  <c r="Q31" i="10" s="1"/>
  <c r="R29" i="10" s="1"/>
  <c r="L49" i="9"/>
  <c r="L48" i="9"/>
  <c r="L52" i="9"/>
  <c r="AA3" i="11"/>
  <c r="AA3" i="12"/>
  <c r="AA3" i="10"/>
  <c r="AA3" i="9"/>
  <c r="AA3" i="8"/>
  <c r="AA3" i="7"/>
  <c r="AE2" i="5"/>
  <c r="AE4" i="4"/>
  <c r="AE3" i="4"/>
  <c r="AA6" i="13"/>
  <c r="N21" i="10"/>
  <c r="R89" i="12" l="1"/>
  <c r="AF89" i="12"/>
  <c r="AE89" i="12"/>
  <c r="K74" i="9"/>
  <c r="K76" i="9" s="1"/>
  <c r="K35" i="12"/>
  <c r="K55" i="12" s="1"/>
  <c r="L54" i="10"/>
  <c r="L32" i="12"/>
  <c r="AC89" i="12"/>
  <c r="AG18" i="11"/>
  <c r="Y89" i="12"/>
  <c r="Y18" i="11"/>
  <c r="K94" i="12"/>
  <c r="K19" i="11" s="1"/>
  <c r="X89" i="12"/>
  <c r="AE18" i="11"/>
  <c r="L75" i="9"/>
  <c r="L73" i="9"/>
  <c r="S89" i="12"/>
  <c r="Z89" i="12"/>
  <c r="N89" i="12"/>
  <c r="O89" i="12"/>
  <c r="Q91" i="13"/>
  <c r="Q66" i="12"/>
  <c r="R91" i="13"/>
  <c r="R66" i="12"/>
  <c r="K17" i="12"/>
  <c r="K87" i="13" s="1"/>
  <c r="I89" i="8"/>
  <c r="M91" i="13"/>
  <c r="M66" i="12"/>
  <c r="X66" i="12"/>
  <c r="X91" i="13"/>
  <c r="N66" i="12"/>
  <c r="N91" i="13"/>
  <c r="K32" i="1"/>
  <c r="L91" i="13"/>
  <c r="L66" i="12"/>
  <c r="R18" i="11"/>
  <c r="W91" i="13"/>
  <c r="W66" i="12"/>
  <c r="K88" i="12"/>
  <c r="K89" i="12" s="1"/>
  <c r="X18" i="11"/>
  <c r="AE66" i="12"/>
  <c r="AE91" i="13"/>
  <c r="Y66" i="12"/>
  <c r="Y91" i="13"/>
  <c r="AF18" i="11"/>
  <c r="S91" i="13"/>
  <c r="S66" i="12"/>
  <c r="K91" i="8"/>
  <c r="AG89" i="12"/>
  <c r="AB91" i="13"/>
  <c r="AB66" i="12"/>
  <c r="K88" i="13"/>
  <c r="K28" i="1"/>
  <c r="N18" i="11"/>
  <c r="AD91" i="13"/>
  <c r="AD66" i="12"/>
  <c r="AB18" i="11"/>
  <c r="I90" i="8"/>
  <c r="AC66" i="12"/>
  <c r="AC91" i="13"/>
  <c r="L18" i="11"/>
  <c r="AD89" i="12"/>
  <c r="AF66" i="12"/>
  <c r="AF91" i="13"/>
  <c r="AG66" i="12"/>
  <c r="AG91" i="13"/>
  <c r="M89" i="12"/>
  <c r="Q18" i="11"/>
  <c r="S39" i="10"/>
  <c r="S40" i="10" s="1"/>
  <c r="T38" i="10" s="1"/>
  <c r="R48" i="10"/>
  <c r="R49" i="10" s="1"/>
  <c r="S47" i="10" s="1"/>
  <c r="R30" i="10"/>
  <c r="R31" i="10" s="1"/>
  <c r="S29" i="10" s="1"/>
  <c r="L36" i="12"/>
  <c r="L59" i="9"/>
  <c r="L41" i="9"/>
  <c r="L42" i="9" s="1"/>
  <c r="N22" i="10"/>
  <c r="AA4" i="12"/>
  <c r="AA4" i="10"/>
  <c r="AA4" i="11"/>
  <c r="AA4" i="9"/>
  <c r="AA4" i="8"/>
  <c r="AA4" i="7"/>
  <c r="AE5" i="4"/>
  <c r="AE5" i="5" s="1"/>
  <c r="AF2" i="4"/>
  <c r="AE7" i="4"/>
  <c r="AE7" i="5" s="1"/>
  <c r="AE3" i="5"/>
  <c r="AA7" i="13"/>
  <c r="AA5" i="12"/>
  <c r="AA5" i="11"/>
  <c r="AA5" i="9"/>
  <c r="AA5" i="8"/>
  <c r="AA5" i="7"/>
  <c r="AE6" i="4"/>
  <c r="AE6" i="5" s="1"/>
  <c r="AA5" i="10"/>
  <c r="AA8" i="13"/>
  <c r="AA62" i="13" s="1"/>
  <c r="AE4" i="5"/>
  <c r="L22" i="12"/>
  <c r="L20" i="11"/>
  <c r="K19" i="12" l="1"/>
  <c r="K66" i="12" s="1"/>
  <c r="L62" i="10"/>
  <c r="K95" i="12"/>
  <c r="L92" i="12" s="1"/>
  <c r="L89" i="12"/>
  <c r="K18" i="11"/>
  <c r="H87" i="8" a="1"/>
  <c r="H87" i="8" s="1"/>
  <c r="H2" i="8" s="1"/>
  <c r="I91" i="8"/>
  <c r="S48" i="10"/>
  <c r="S49" i="10" s="1"/>
  <c r="T47" i="10" s="1"/>
  <c r="S30" i="10"/>
  <c r="S31" i="10" s="1"/>
  <c r="T29" i="10" s="1"/>
  <c r="T39" i="10"/>
  <c r="T40" i="10" s="1"/>
  <c r="U38" i="10" s="1"/>
  <c r="O20" i="10"/>
  <c r="AB3" i="11"/>
  <c r="AB3" i="12"/>
  <c r="AB3" i="10"/>
  <c r="AB3" i="9"/>
  <c r="AB3" i="8"/>
  <c r="AF2" i="5"/>
  <c r="AF3" i="4"/>
  <c r="AB3" i="7"/>
  <c r="AF4" i="4"/>
  <c r="AB6" i="13"/>
  <c r="L60" i="9"/>
  <c r="L101" i="13" s="1"/>
  <c r="L35" i="12"/>
  <c r="L55" i="12" s="1"/>
  <c r="L74" i="9"/>
  <c r="L53" i="12"/>
  <c r="M39" i="9"/>
  <c r="K91" i="13" l="1"/>
  <c r="L93" i="12"/>
  <c r="L94" i="12" s="1"/>
  <c r="K21" i="11"/>
  <c r="I18" i="11"/>
  <c r="U39" i="10"/>
  <c r="U40" i="10" s="1"/>
  <c r="V38" i="10" s="1"/>
  <c r="T48" i="10"/>
  <c r="T49" i="10" s="1"/>
  <c r="U47" i="10" s="1"/>
  <c r="M46" i="9"/>
  <c r="M47" i="9" s="1"/>
  <c r="AB4" i="11"/>
  <c r="AB4" i="12"/>
  <c r="AB4" i="10"/>
  <c r="AG2" i="4"/>
  <c r="AF3" i="5"/>
  <c r="AF7" i="4"/>
  <c r="AF7" i="5" s="1"/>
  <c r="AB4" i="7"/>
  <c r="AB4" i="9"/>
  <c r="AF5" i="4"/>
  <c r="AF5" i="5" s="1"/>
  <c r="AB4" i="8"/>
  <c r="AB7" i="13"/>
  <c r="L76" i="9"/>
  <c r="O21" i="10"/>
  <c r="O22" i="10" s="1"/>
  <c r="T30" i="10"/>
  <c r="T31" i="10" s="1"/>
  <c r="U29" i="10" s="1"/>
  <c r="AB5" i="12"/>
  <c r="AB5" i="10"/>
  <c r="AB5" i="9"/>
  <c r="AB5" i="8"/>
  <c r="AB5" i="7"/>
  <c r="AF6" i="4"/>
  <c r="AF6" i="5" s="1"/>
  <c r="AB5" i="11"/>
  <c r="AF4" i="5"/>
  <c r="AB8" i="13"/>
  <c r="AB62" i="13" s="1"/>
  <c r="L19" i="11" l="1"/>
  <c r="L21" i="11" s="1"/>
  <c r="L27" i="11" s="1"/>
  <c r="L95" i="12"/>
  <c r="M92" i="12" s="1"/>
  <c r="K28" i="11"/>
  <c r="K34" i="11" s="1"/>
  <c r="K35" i="11" s="1"/>
  <c r="K27" i="11"/>
  <c r="U30" i="10"/>
  <c r="U31" i="10" s="1"/>
  <c r="V29" i="10" s="1"/>
  <c r="V39" i="10"/>
  <c r="V40" i="10" s="1"/>
  <c r="W38" i="10" s="1"/>
  <c r="M48" i="9"/>
  <c r="M49" i="9"/>
  <c r="M52" i="9"/>
  <c r="AC3" i="12"/>
  <c r="AC3" i="11"/>
  <c r="AC3" i="10"/>
  <c r="AC3" i="9"/>
  <c r="AC3" i="8"/>
  <c r="AC3" i="7"/>
  <c r="AG2" i="5"/>
  <c r="AG3" i="4"/>
  <c r="AG4" i="4"/>
  <c r="AC6" i="13"/>
  <c r="P20" i="10"/>
  <c r="U48" i="10"/>
  <c r="U49" i="10" s="1"/>
  <c r="V47" i="10" s="1"/>
  <c r="M54" i="10" l="1"/>
  <c r="M32" i="12"/>
  <c r="K58" i="9"/>
  <c r="M75" i="9"/>
  <c r="M73" i="9"/>
  <c r="K36" i="11"/>
  <c r="K29" i="11"/>
  <c r="L26" i="11" s="1"/>
  <c r="V48" i="10"/>
  <c r="V49" i="10" s="1"/>
  <c r="W47" i="10" s="1"/>
  <c r="V30" i="10"/>
  <c r="V31" i="10" s="1"/>
  <c r="W29" i="10" s="1"/>
  <c r="M22" i="12"/>
  <c r="M20" i="11"/>
  <c r="AC4" i="11"/>
  <c r="AC4" i="12"/>
  <c r="AG3" i="5"/>
  <c r="AG7" i="4"/>
  <c r="AG7" i="5" s="1"/>
  <c r="AC4" i="9"/>
  <c r="AC4" i="8"/>
  <c r="AC4" i="10"/>
  <c r="AG5" i="4"/>
  <c r="AG5" i="5" s="1"/>
  <c r="AH2" i="4"/>
  <c r="AC7" i="13"/>
  <c r="AC4" i="7"/>
  <c r="AC5" i="11"/>
  <c r="AC5" i="12"/>
  <c r="AC5" i="10"/>
  <c r="AG4" i="5"/>
  <c r="AC5" i="9"/>
  <c r="AC5" i="8"/>
  <c r="AC5" i="7"/>
  <c r="AG6" i="4"/>
  <c r="AG6" i="5" s="1"/>
  <c r="AC8" i="13"/>
  <c r="AC62" i="13" s="1"/>
  <c r="W39" i="10"/>
  <c r="W40" i="10" s="1"/>
  <c r="X38" i="10" s="1"/>
  <c r="P21" i="10"/>
  <c r="M36" i="12"/>
  <c r="M41" i="9"/>
  <c r="M42" i="9" s="1"/>
  <c r="M59" i="9"/>
  <c r="M62" i="10" l="1"/>
  <c r="L28" i="11"/>
  <c r="L34" i="11" s="1"/>
  <c r="L35" i="11" s="1"/>
  <c r="X39" i="10"/>
  <c r="X40" i="10" s="1"/>
  <c r="Y38" i="10" s="1"/>
  <c r="W30" i="10"/>
  <c r="W31" i="10" s="1"/>
  <c r="X29" i="10" s="1"/>
  <c r="W48" i="10"/>
  <c r="W49" i="10" s="1"/>
  <c r="X47" i="10" s="1"/>
  <c r="M60" i="9"/>
  <c r="M101" i="13" s="1"/>
  <c r="M53" i="12"/>
  <c r="N39" i="9"/>
  <c r="M35" i="12"/>
  <c r="M55" i="12" s="1"/>
  <c r="M74" i="9"/>
  <c r="AD3" i="12"/>
  <c r="AD3" i="11"/>
  <c r="AD3" i="10"/>
  <c r="AD3" i="9"/>
  <c r="AD3" i="8"/>
  <c r="AD3" i="7"/>
  <c r="AH4" i="4"/>
  <c r="AH2" i="5"/>
  <c r="AH3" i="4"/>
  <c r="AD6" i="13"/>
  <c r="P22" i="10"/>
  <c r="L58" i="9" l="1"/>
  <c r="M93" i="12"/>
  <c r="L29" i="11"/>
  <c r="M26" i="11" s="1"/>
  <c r="L36" i="11"/>
  <c r="X48" i="10"/>
  <c r="X49" i="10" s="1"/>
  <c r="Y47" i="10" s="1"/>
  <c r="X30" i="10"/>
  <c r="X31" i="10" s="1"/>
  <c r="Y29" i="10" s="1"/>
  <c r="Y39" i="10"/>
  <c r="Y40" i="10" s="1"/>
  <c r="Z38" i="10" s="1"/>
  <c r="AD5" i="11"/>
  <c r="AH4" i="5"/>
  <c r="AD5" i="10"/>
  <c r="AD5" i="9"/>
  <c r="AD5" i="8"/>
  <c r="AD5" i="12"/>
  <c r="AD5" i="7"/>
  <c r="AD8" i="13"/>
  <c r="AD62" i="13" s="1"/>
  <c r="AH6" i="4"/>
  <c r="AH6" i="5" s="1"/>
  <c r="M76" i="9"/>
  <c r="N46" i="9"/>
  <c r="N47" i="9" s="1"/>
  <c r="Q20" i="10"/>
  <c r="AD4" i="12"/>
  <c r="AD4" i="10"/>
  <c r="AD4" i="9"/>
  <c r="AD4" i="8"/>
  <c r="AD4" i="7"/>
  <c r="AH5" i="4"/>
  <c r="AH5" i="5" s="1"/>
  <c r="AD4" i="11"/>
  <c r="AI2" i="4"/>
  <c r="AD7" i="13"/>
  <c r="AH3" i="5"/>
  <c r="AH7" i="4"/>
  <c r="AH7" i="5" s="1"/>
  <c r="M94" i="12" l="1"/>
  <c r="M19" i="11" s="1"/>
  <c r="M21" i="11" s="1"/>
  <c r="Y48" i="10"/>
  <c r="Y49" i="10" s="1"/>
  <c r="Z47" i="10" s="1"/>
  <c r="Z39" i="10"/>
  <c r="Z40" i="10" s="1"/>
  <c r="AA38" i="10" s="1"/>
  <c r="Y30" i="10"/>
  <c r="Y31" i="10" s="1"/>
  <c r="Z29" i="10" s="1"/>
  <c r="AE3" i="11"/>
  <c r="AE3" i="10"/>
  <c r="AE3" i="12"/>
  <c r="AE3" i="9"/>
  <c r="AE3" i="8"/>
  <c r="AE3" i="7"/>
  <c r="AI2" i="5"/>
  <c r="AI3" i="4"/>
  <c r="AE6" i="13"/>
  <c r="AI4" i="4"/>
  <c r="Q21" i="10"/>
  <c r="N49" i="9"/>
  <c r="N48" i="9"/>
  <c r="N52" i="9"/>
  <c r="N54" i="10" l="1"/>
  <c r="N32" i="12"/>
  <c r="M95" i="12"/>
  <c r="N92" i="12" s="1"/>
  <c r="M28" i="11"/>
  <c r="M34" i="11" s="1"/>
  <c r="M35" i="11" s="1"/>
  <c r="M27" i="11"/>
  <c r="N75" i="9"/>
  <c r="N73" i="9"/>
  <c r="Q22" i="10"/>
  <c r="R20" i="10" s="1"/>
  <c r="Z30" i="10"/>
  <c r="Z31" i="10" s="1"/>
  <c r="AA29" i="10" s="1"/>
  <c r="AA39" i="10"/>
  <c r="AA40" i="10" s="1"/>
  <c r="AB38" i="10" s="1"/>
  <c r="Z48" i="10"/>
  <c r="Z49" i="10" s="1"/>
  <c r="AA47" i="10" s="1"/>
  <c r="N36" i="12"/>
  <c r="N59" i="9"/>
  <c r="N41" i="9"/>
  <c r="N42" i="9" s="1"/>
  <c r="N22" i="12"/>
  <c r="N20" i="11"/>
  <c r="AE5" i="12"/>
  <c r="AE5" i="11"/>
  <c r="AE5" i="10"/>
  <c r="AE5" i="9"/>
  <c r="AE5" i="8"/>
  <c r="AE5" i="7"/>
  <c r="AI6" i="4"/>
  <c r="AI6" i="5" s="1"/>
  <c r="AI4" i="5"/>
  <c r="AE8" i="13"/>
  <c r="AE62" i="13" s="1"/>
  <c r="AE4" i="12"/>
  <c r="AE4" i="11"/>
  <c r="AE4" i="10"/>
  <c r="AE4" i="9"/>
  <c r="AE4" i="8"/>
  <c r="AE4" i="7"/>
  <c r="AI5" i="4"/>
  <c r="AI5" i="5" s="1"/>
  <c r="AJ2" i="4"/>
  <c r="AI3" i="5"/>
  <c r="AE7" i="13"/>
  <c r="AI7" i="4"/>
  <c r="AI7" i="5" s="1"/>
  <c r="M36" i="11" l="1"/>
  <c r="M58" i="9"/>
  <c r="M29" i="11"/>
  <c r="N26" i="11" s="1"/>
  <c r="N62" i="10"/>
  <c r="AA48" i="10"/>
  <c r="AA49" i="10" s="1"/>
  <c r="AB47" i="10" s="1"/>
  <c r="AA30" i="10"/>
  <c r="AA31" i="10" s="1"/>
  <c r="AB29" i="10" s="1"/>
  <c r="R21" i="10"/>
  <c r="N35" i="12"/>
  <c r="N55" i="12" s="1"/>
  <c r="N74" i="9"/>
  <c r="N53" i="12"/>
  <c r="O39" i="9"/>
  <c r="AB39" i="10"/>
  <c r="AB40" i="10" s="1"/>
  <c r="AC38" i="10" s="1"/>
  <c r="AF3" i="11"/>
  <c r="AF3" i="12"/>
  <c r="AF3" i="10"/>
  <c r="AF3" i="7"/>
  <c r="AJ2" i="5"/>
  <c r="AJ3" i="4"/>
  <c r="AF3" i="8"/>
  <c r="AJ4" i="4"/>
  <c r="AF6" i="13"/>
  <c r="AF3" i="9"/>
  <c r="N93" i="12" l="1"/>
  <c r="AB30" i="10"/>
  <c r="AB31" i="10" s="1"/>
  <c r="AC29" i="10" s="1"/>
  <c r="AB48" i="10"/>
  <c r="AB49" i="10" s="1"/>
  <c r="AC47" i="10" s="1"/>
  <c r="AF4" i="11"/>
  <c r="AF4" i="10"/>
  <c r="AF4" i="9"/>
  <c r="AF4" i="8"/>
  <c r="AK2" i="4"/>
  <c r="AF4" i="7"/>
  <c r="AJ3" i="5"/>
  <c r="AJ7" i="4"/>
  <c r="AJ7" i="5" s="1"/>
  <c r="AF4" i="12"/>
  <c r="AF7" i="13"/>
  <c r="AJ5" i="4"/>
  <c r="AJ5" i="5" s="1"/>
  <c r="O46" i="9"/>
  <c r="O47" i="9" s="1"/>
  <c r="AF5" i="12"/>
  <c r="AF5" i="11"/>
  <c r="AF5" i="10"/>
  <c r="AF5" i="9"/>
  <c r="AF5" i="8"/>
  <c r="AF5" i="7"/>
  <c r="AJ6" i="4"/>
  <c r="AJ6" i="5" s="1"/>
  <c r="AJ4" i="5"/>
  <c r="AF8" i="13"/>
  <c r="AF62" i="13" s="1"/>
  <c r="AC39" i="10"/>
  <c r="AC40" i="10" s="1"/>
  <c r="AD38" i="10" s="1"/>
  <c r="N76" i="9"/>
  <c r="R22" i="10"/>
  <c r="N94" i="12" l="1"/>
  <c r="N19" i="11" s="1"/>
  <c r="N21" i="11" s="1"/>
  <c r="AC30" i="10"/>
  <c r="AC31" i="10" s="1"/>
  <c r="AD29" i="10" s="1"/>
  <c r="AD39" i="10"/>
  <c r="AD40" i="10" s="1"/>
  <c r="AE38" i="10" s="1"/>
  <c r="S20" i="10"/>
  <c r="AG3" i="12"/>
  <c r="AG3" i="11"/>
  <c r="AG3" i="9"/>
  <c r="AG3" i="8"/>
  <c r="AG3" i="7"/>
  <c r="AG3" i="10"/>
  <c r="AK2" i="5"/>
  <c r="AK3" i="4"/>
  <c r="AK4" i="4"/>
  <c r="AG6" i="13"/>
  <c r="O48" i="9"/>
  <c r="O49" i="9"/>
  <c r="O52" i="9"/>
  <c r="AC48" i="10"/>
  <c r="AC49" i="10" s="1"/>
  <c r="AD47" i="10" s="1"/>
  <c r="O54" i="10" l="1"/>
  <c r="O32" i="12"/>
  <c r="N27" i="11"/>
  <c r="N28" i="11"/>
  <c r="N34" i="11" s="1"/>
  <c r="N35" i="11" s="1"/>
  <c r="N95" i="12"/>
  <c r="O92" i="12" s="1"/>
  <c r="O75" i="9"/>
  <c r="O73" i="9"/>
  <c r="AD30" i="10"/>
  <c r="AD31" i="10" s="1"/>
  <c r="AE29" i="10" s="1"/>
  <c r="AD48" i="10"/>
  <c r="AD49" i="10" s="1"/>
  <c r="AE47" i="10" s="1"/>
  <c r="AG5" i="11"/>
  <c r="AG5" i="10"/>
  <c r="AG5" i="12"/>
  <c r="AG5" i="9"/>
  <c r="AG5" i="8"/>
  <c r="AG5" i="7"/>
  <c r="AK4" i="5"/>
  <c r="AK6" i="4"/>
  <c r="AK6" i="5" s="1"/>
  <c r="AG8" i="13"/>
  <c r="AG62" i="13" s="1"/>
  <c r="S21" i="10"/>
  <c r="AE39" i="10"/>
  <c r="AE40" i="10" s="1"/>
  <c r="AF38" i="10" s="1"/>
  <c r="AG4" i="11"/>
  <c r="AG4" i="12"/>
  <c r="AG4" i="10"/>
  <c r="AG4" i="7"/>
  <c r="AK3" i="5"/>
  <c r="AK7" i="4"/>
  <c r="AK7" i="5" s="1"/>
  <c r="AK5" i="4"/>
  <c r="AK5" i="5" s="1"/>
  <c r="AG4" i="9"/>
  <c r="AG4" i="8"/>
  <c r="AG7" i="13"/>
  <c r="O59" i="9"/>
  <c r="O36" i="12"/>
  <c r="O41" i="9"/>
  <c r="O42" i="9" s="1"/>
  <c r="O22" i="12"/>
  <c r="O20" i="11"/>
  <c r="N36" i="11" l="1"/>
  <c r="N58" i="9"/>
  <c r="N60" i="9" s="1"/>
  <c r="N101" i="13" s="1"/>
  <c r="N29" i="11"/>
  <c r="O26" i="11" s="1"/>
  <c r="O62" i="10"/>
  <c r="S22" i="10"/>
  <c r="AE48" i="10"/>
  <c r="AE49" i="10" s="1"/>
  <c r="AF47" i="10" s="1"/>
  <c r="AF39" i="10"/>
  <c r="AF40" i="10" s="1"/>
  <c r="AG38" i="10" s="1"/>
  <c r="AE30" i="10"/>
  <c r="AE31" i="10" s="1"/>
  <c r="AF29" i="10" s="1"/>
  <c r="G80" i="12"/>
  <c r="G79" i="12"/>
  <c r="O35" i="12"/>
  <c r="O55" i="12" s="1"/>
  <c r="O74" i="9"/>
  <c r="T20" i="10"/>
  <c r="O53" i="12"/>
  <c r="P39" i="9"/>
  <c r="O93" i="12" l="1"/>
  <c r="AG39" i="10"/>
  <c r="I39" i="10" s="1"/>
  <c r="H33" i="10" s="1"/>
  <c r="AF48" i="10"/>
  <c r="AF49" i="10" s="1"/>
  <c r="AG47" i="10" s="1"/>
  <c r="P46" i="9"/>
  <c r="P47" i="9" s="1"/>
  <c r="G83" i="12"/>
  <c r="K10" i="1" s="1"/>
  <c r="O76" i="9"/>
  <c r="AF30" i="10"/>
  <c r="AF31" i="10" s="1"/>
  <c r="AG29" i="10" s="1"/>
  <c r="T21" i="10"/>
  <c r="O94" i="12" l="1"/>
  <c r="O19" i="11" s="1"/>
  <c r="O21" i="11" s="1"/>
  <c r="T22" i="10"/>
  <c r="U20" i="10" s="1"/>
  <c r="AG48" i="10"/>
  <c r="I48" i="10" s="1"/>
  <c r="H42" i="10" s="1"/>
  <c r="AG30" i="10"/>
  <c r="I30" i="10" s="1"/>
  <c r="H24" i="10" s="1"/>
  <c r="P49" i="9"/>
  <c r="P48" i="9"/>
  <c r="P52" i="9"/>
  <c r="AG40" i="10"/>
  <c r="P54" i="10" l="1"/>
  <c r="P62" i="10" s="1"/>
  <c r="P93" i="12" s="1"/>
  <c r="P32" i="12"/>
  <c r="O95" i="12"/>
  <c r="P92" i="12" s="1"/>
  <c r="O28" i="11"/>
  <c r="O34" i="11" s="1"/>
  <c r="O35" i="11" s="1"/>
  <c r="O27" i="11"/>
  <c r="P75" i="9"/>
  <c r="P73" i="9"/>
  <c r="P36" i="12"/>
  <c r="P41" i="9"/>
  <c r="P42" i="9" s="1"/>
  <c r="P59" i="9"/>
  <c r="AG31" i="10"/>
  <c r="U21" i="10"/>
  <c r="P22" i="12"/>
  <c r="P20" i="11"/>
  <c r="AG49" i="10"/>
  <c r="O58" i="9" l="1"/>
  <c r="O60" i="9" s="1"/>
  <c r="O101" i="13" s="1"/>
  <c r="O29" i="11"/>
  <c r="P26" i="11" s="1"/>
  <c r="P94" i="12"/>
  <c r="P19" i="11" s="1"/>
  <c r="P21" i="11" s="1"/>
  <c r="O36" i="11"/>
  <c r="P35" i="12"/>
  <c r="P55" i="12" s="1"/>
  <c r="P74" i="9"/>
  <c r="P76" i="9" s="1"/>
  <c r="U22" i="10"/>
  <c r="P53" i="12"/>
  <c r="Q39" i="9"/>
  <c r="P27" i="11" l="1"/>
  <c r="P28" i="11"/>
  <c r="P34" i="11" s="1"/>
  <c r="P35" i="11" s="1"/>
  <c r="P95" i="12"/>
  <c r="Q92" i="12" s="1"/>
  <c r="Q46" i="9"/>
  <c r="Q47" i="9" s="1"/>
  <c r="V20" i="10"/>
  <c r="P36" i="11" l="1"/>
  <c r="P58" i="9"/>
  <c r="P60" i="9" s="1"/>
  <c r="P101" i="13" s="1"/>
  <c r="P29" i="11"/>
  <c r="Q26" i="11" s="1"/>
  <c r="V21" i="10"/>
  <c r="Q48" i="9"/>
  <c r="Q49" i="9"/>
  <c r="Q52" i="9"/>
  <c r="Q54" i="10" l="1"/>
  <c r="Q62" i="10" s="1"/>
  <c r="Q93" i="12" s="1"/>
  <c r="Q32" i="12"/>
  <c r="Q75" i="9"/>
  <c r="Q73" i="9"/>
  <c r="Q36" i="12"/>
  <c r="Q41" i="9"/>
  <c r="Q42" i="9" s="1"/>
  <c r="Q59" i="9"/>
  <c r="Q20" i="11"/>
  <c r="Q22" i="12"/>
  <c r="V22" i="10"/>
  <c r="Q94" i="12" l="1"/>
  <c r="Q19" i="11" s="1"/>
  <c r="Q21" i="11" s="1"/>
  <c r="Q53" i="12"/>
  <c r="R39" i="9"/>
  <c r="W20" i="10"/>
  <c r="Q35" i="12"/>
  <c r="Q55" i="12" s="1"/>
  <c r="Q74" i="9"/>
  <c r="Q76" i="9" s="1"/>
  <c r="Q28" i="11" l="1"/>
  <c r="Q34" i="11" s="1"/>
  <c r="Q35" i="11" s="1"/>
  <c r="Q27" i="11"/>
  <c r="Q95" i="12"/>
  <c r="R92" i="12" s="1"/>
  <c r="W21" i="10"/>
  <c r="W22" i="10" s="1"/>
  <c r="R46" i="9"/>
  <c r="R47" i="9" s="1"/>
  <c r="Q29" i="11" l="1"/>
  <c r="R26" i="11" s="1"/>
  <c r="Q58" i="9"/>
  <c r="Q60" i="9" s="1"/>
  <c r="Q101" i="13" s="1"/>
  <c r="Q36" i="11"/>
  <c r="R49" i="9"/>
  <c r="R48" i="9"/>
  <c r="R52" i="9"/>
  <c r="X20" i="10"/>
  <c r="R54" i="10" l="1"/>
  <c r="R62" i="10" s="1"/>
  <c r="R93" i="12" s="1"/>
  <c r="R32" i="12"/>
  <c r="R75" i="9"/>
  <c r="R73" i="9"/>
  <c r="R36" i="12"/>
  <c r="R59" i="9"/>
  <c r="R41" i="9"/>
  <c r="R42" i="9" s="1"/>
  <c r="X21" i="10"/>
  <c r="R22" i="12"/>
  <c r="R20" i="11"/>
  <c r="R94" i="12" l="1"/>
  <c r="R19" i="11" s="1"/>
  <c r="R21" i="11" s="1"/>
  <c r="X22" i="10"/>
  <c r="R35" i="12"/>
  <c r="R55" i="12" s="1"/>
  <c r="R74" i="9"/>
  <c r="R76" i="9" s="1"/>
  <c r="R53" i="12"/>
  <c r="S39" i="9"/>
  <c r="R28" i="11" l="1"/>
  <c r="R34" i="11" s="1"/>
  <c r="R35" i="11" s="1"/>
  <c r="R27" i="11"/>
  <c r="R95" i="12"/>
  <c r="S92" i="12" s="1"/>
  <c r="Y20" i="10"/>
  <c r="S46" i="9"/>
  <c r="S47" i="9" s="1"/>
  <c r="R58" i="9" l="1"/>
  <c r="R60" i="9" s="1"/>
  <c r="R101" i="13" s="1"/>
  <c r="R36" i="11"/>
  <c r="R29" i="11"/>
  <c r="S26" i="11" s="1"/>
  <c r="Y21" i="10"/>
  <c r="S49" i="9"/>
  <c r="S48" i="9"/>
  <c r="S52" i="9"/>
  <c r="S54" i="10" l="1"/>
  <c r="S62" i="10" s="1"/>
  <c r="S93" i="12" s="1"/>
  <c r="S32" i="12"/>
  <c r="S75" i="9"/>
  <c r="S73" i="9"/>
  <c r="S36" i="12"/>
  <c r="S59" i="9"/>
  <c r="S41" i="9"/>
  <c r="S42" i="9" s="1"/>
  <c r="S22" i="12"/>
  <c r="S20" i="11"/>
  <c r="Y22" i="10"/>
  <c r="S94" i="12" l="1"/>
  <c r="S19" i="11" s="1"/>
  <c r="S21" i="11" s="1"/>
  <c r="S53" i="12"/>
  <c r="T39" i="9"/>
  <c r="Z20" i="10"/>
  <c r="S35" i="12"/>
  <c r="S55" i="12" s="1"/>
  <c r="S74" i="9"/>
  <c r="S76" i="9" s="1"/>
  <c r="S28" i="11" l="1"/>
  <c r="S34" i="11" s="1"/>
  <c r="S35" i="11" s="1"/>
  <c r="S27" i="11"/>
  <c r="S95" i="12"/>
  <c r="T92" i="12" s="1"/>
  <c r="T46" i="9"/>
  <c r="T47" i="9" s="1"/>
  <c r="Z21" i="10"/>
  <c r="S36" i="11" l="1"/>
  <c r="S29" i="11"/>
  <c r="T26" i="11" s="1"/>
  <c r="S58" i="9"/>
  <c r="S60" i="9" s="1"/>
  <c r="S101" i="13" s="1"/>
  <c r="Z22" i="10"/>
  <c r="T49" i="9"/>
  <c r="T48" i="9"/>
  <c r="T52" i="9"/>
  <c r="T54" i="10" l="1"/>
  <c r="T62" i="10" s="1"/>
  <c r="T93" i="12" s="1"/>
  <c r="T32" i="12"/>
  <c r="T75" i="9"/>
  <c r="T73" i="9"/>
  <c r="T22" i="12"/>
  <c r="T20" i="11"/>
  <c r="AA20" i="10"/>
  <c r="T36" i="12"/>
  <c r="T59" i="9"/>
  <c r="T41" i="9"/>
  <c r="T42" i="9" s="1"/>
  <c r="T94" i="12" l="1"/>
  <c r="T19" i="11" s="1"/>
  <c r="T21" i="11" s="1"/>
  <c r="T35" i="12"/>
  <c r="T55" i="12" s="1"/>
  <c r="T74" i="9"/>
  <c r="T76" i="9" s="1"/>
  <c r="AA21" i="10"/>
  <c r="T53" i="12"/>
  <c r="U39" i="9"/>
  <c r="T95" i="12" l="1"/>
  <c r="U92" i="12" s="1"/>
  <c r="T28" i="11"/>
  <c r="T34" i="11" s="1"/>
  <c r="T35" i="11" s="1"/>
  <c r="T27" i="11"/>
  <c r="U46" i="9"/>
  <c r="U47" i="9" s="1"/>
  <c r="AA22" i="10"/>
  <c r="T29" i="11" l="1"/>
  <c r="U26" i="11" s="1"/>
  <c r="T58" i="9"/>
  <c r="T60" i="9" s="1"/>
  <c r="T101" i="13" s="1"/>
  <c r="T36" i="11"/>
  <c r="AB20" i="10"/>
  <c r="U48" i="9"/>
  <c r="U49" i="9"/>
  <c r="U52" i="9"/>
  <c r="U54" i="10" l="1"/>
  <c r="U62" i="10" s="1"/>
  <c r="U93" i="12" s="1"/>
  <c r="U32" i="12"/>
  <c r="U75" i="9"/>
  <c r="U73" i="9"/>
  <c r="U22" i="12"/>
  <c r="U20" i="11"/>
  <c r="AB21" i="10"/>
  <c r="U36" i="12"/>
  <c r="U41" i="9"/>
  <c r="U42" i="9" s="1"/>
  <c r="U59" i="9"/>
  <c r="U94" i="12" l="1"/>
  <c r="U19" i="11" s="1"/>
  <c r="U21" i="11" s="1"/>
  <c r="AB22" i="10"/>
  <c r="U53" i="12"/>
  <c r="V39" i="9"/>
  <c r="U35" i="12"/>
  <c r="U55" i="12" s="1"/>
  <c r="U74" i="9"/>
  <c r="U76" i="9" s="1"/>
  <c r="U95" i="12" l="1"/>
  <c r="V92" i="12" s="1"/>
  <c r="U28" i="11"/>
  <c r="U34" i="11" s="1"/>
  <c r="U35" i="11" s="1"/>
  <c r="U27" i="11"/>
  <c r="V46" i="9"/>
  <c r="V47" i="9" s="1"/>
  <c r="AC20" i="10"/>
  <c r="U29" i="11" l="1"/>
  <c r="V26" i="11" s="1"/>
  <c r="U58" i="9"/>
  <c r="U60" i="9" s="1"/>
  <c r="U101" i="13" s="1"/>
  <c r="U36" i="11"/>
  <c r="V48" i="9"/>
  <c r="V49" i="9"/>
  <c r="V52" i="9"/>
  <c r="AC21" i="10"/>
  <c r="V54" i="10" l="1"/>
  <c r="V62" i="10" s="1"/>
  <c r="V93" i="12" s="1"/>
  <c r="V32" i="12"/>
  <c r="V75" i="9"/>
  <c r="V73" i="9"/>
  <c r="AC22" i="10"/>
  <c r="V36" i="12"/>
  <c r="V59" i="9"/>
  <c r="V41" i="9"/>
  <c r="V42" i="9" s="1"/>
  <c r="V22" i="12"/>
  <c r="V20" i="11"/>
  <c r="V94" i="12" l="1"/>
  <c r="V19" i="11" s="1"/>
  <c r="V21" i="11" s="1"/>
  <c r="V53" i="12"/>
  <c r="W39" i="9"/>
  <c r="V35" i="12"/>
  <c r="V55" i="12" s="1"/>
  <c r="V74" i="9"/>
  <c r="V76" i="9" s="1"/>
  <c r="AD20" i="10"/>
  <c r="V28" i="11" l="1"/>
  <c r="V34" i="11" s="1"/>
  <c r="V35" i="11" s="1"/>
  <c r="V27" i="11"/>
  <c r="V95" i="12"/>
  <c r="W92" i="12" s="1"/>
  <c r="AD21" i="10"/>
  <c r="W46" i="9"/>
  <c r="W47" i="9" s="1"/>
  <c r="V58" i="9" l="1"/>
  <c r="V60" i="9" s="1"/>
  <c r="V101" i="13" s="1"/>
  <c r="V36" i="11"/>
  <c r="V29" i="11"/>
  <c r="W26" i="11" s="1"/>
  <c r="W49" i="9"/>
  <c r="W48" i="9"/>
  <c r="W52" i="9"/>
  <c r="AD22" i="10"/>
  <c r="W54" i="10" l="1"/>
  <c r="W62" i="10" s="1"/>
  <c r="W93" i="12" s="1"/>
  <c r="W32" i="12"/>
  <c r="W75" i="9"/>
  <c r="W73" i="9"/>
  <c r="W36" i="12"/>
  <c r="W59" i="9"/>
  <c r="W41" i="9"/>
  <c r="W42" i="9" s="1"/>
  <c r="AE20" i="10"/>
  <c r="W22" i="12"/>
  <c r="W20" i="11"/>
  <c r="W94" i="12" l="1"/>
  <c r="W19" i="11" s="1"/>
  <c r="W21" i="11" s="1"/>
  <c r="W53" i="12"/>
  <c r="X39" i="9"/>
  <c r="AE21" i="10"/>
  <c r="W35" i="12"/>
  <c r="W55" i="12" s="1"/>
  <c r="W74" i="9"/>
  <c r="W76" i="9" s="1"/>
  <c r="W95" i="12" l="1"/>
  <c r="X92" i="12" s="1"/>
  <c r="W28" i="11"/>
  <c r="W34" i="11" s="1"/>
  <c r="W35" i="11" s="1"/>
  <c r="W27" i="11"/>
  <c r="X46" i="9"/>
  <c r="X47" i="9" s="1"/>
  <c r="AE22" i="10"/>
  <c r="W29" i="11" l="1"/>
  <c r="X26" i="11" s="1"/>
  <c r="W36" i="11"/>
  <c r="W58" i="9"/>
  <c r="W60" i="9" s="1"/>
  <c r="W101" i="13" s="1"/>
  <c r="AF20" i="10"/>
  <c r="X49" i="9"/>
  <c r="X48" i="9"/>
  <c r="X52" i="9"/>
  <c r="X54" i="10" l="1"/>
  <c r="X62" i="10" s="1"/>
  <c r="X93" i="12" s="1"/>
  <c r="X32" i="12"/>
  <c r="X75" i="9"/>
  <c r="X73" i="9"/>
  <c r="X22" i="12"/>
  <c r="X20" i="11"/>
  <c r="AF21" i="10"/>
  <c r="X36" i="12"/>
  <c r="X41" i="9"/>
  <c r="X42" i="9" s="1"/>
  <c r="X59" i="9"/>
  <c r="X94" i="12" l="1"/>
  <c r="X19" i="11" s="1"/>
  <c r="X21" i="11" s="1"/>
  <c r="AF22" i="10"/>
  <c r="X35" i="12"/>
  <c r="X55" i="12" s="1"/>
  <c r="X74" i="9"/>
  <c r="X76" i="9" s="1"/>
  <c r="X53" i="12"/>
  <c r="Y39" i="9"/>
  <c r="X28" i="11" l="1"/>
  <c r="X34" i="11" s="1"/>
  <c r="X35" i="11" s="1"/>
  <c r="X36" i="11" s="1"/>
  <c r="X27" i="11"/>
  <c r="X95" i="12"/>
  <c r="Y92" i="12" s="1"/>
  <c r="AG20" i="10"/>
  <c r="Y46" i="9"/>
  <c r="Y47" i="9" s="1"/>
  <c r="X29" i="11" l="1"/>
  <c r="Y26" i="11" s="1"/>
  <c r="X58" i="9"/>
  <c r="X60" i="9" s="1"/>
  <c r="X101" i="13" s="1"/>
  <c r="Y48" i="9"/>
  <c r="Y49" i="9"/>
  <c r="Y52" i="9"/>
  <c r="AG21" i="10"/>
  <c r="Y54" i="10" l="1"/>
  <c r="Y62" i="10" s="1"/>
  <c r="Y93" i="12" s="1"/>
  <c r="Y32" i="12"/>
  <c r="Y75" i="9"/>
  <c r="Y73" i="9"/>
  <c r="Y22" i="12"/>
  <c r="Y20" i="11"/>
  <c r="I21" i="10"/>
  <c r="AG22" i="10"/>
  <c r="Y36" i="12"/>
  <c r="Y41" i="9"/>
  <c r="Y42" i="9" s="1"/>
  <c r="Y59" i="9"/>
  <c r="H15" i="10" l="1"/>
  <c r="Y94" i="12"/>
  <c r="Y19" i="11" s="1"/>
  <c r="Y21" i="11" s="1"/>
  <c r="Y53" i="12"/>
  <c r="Z39" i="9"/>
  <c r="Y35" i="12"/>
  <c r="Y55" i="12" s="1"/>
  <c r="Y74" i="9"/>
  <c r="Y76" i="9" s="1"/>
  <c r="Y27" i="11" l="1"/>
  <c r="Y28" i="11"/>
  <c r="Y34" i="11" s="1"/>
  <c r="Y35" i="11" s="1"/>
  <c r="Y95" i="12"/>
  <c r="Z92" i="12" s="1"/>
  <c r="Z46" i="9"/>
  <c r="Z47" i="9" s="1"/>
  <c r="Y29" i="11" l="1"/>
  <c r="Z26" i="11" s="1"/>
  <c r="Y36" i="11"/>
  <c r="Y58" i="9"/>
  <c r="Y60" i="9" s="1"/>
  <c r="Y101" i="13" s="1"/>
  <c r="Z48" i="9"/>
  <c r="Z49" i="9"/>
  <c r="Z52" i="9"/>
  <c r="Z54" i="10" l="1"/>
  <c r="Z62" i="10" s="1"/>
  <c r="Z93" i="12" s="1"/>
  <c r="Z32" i="12"/>
  <c r="Z75" i="9"/>
  <c r="Z73" i="9"/>
  <c r="Z36" i="12"/>
  <c r="Z59" i="9"/>
  <c r="Z41" i="9"/>
  <c r="Z42" i="9" s="1"/>
  <c r="Z22" i="12"/>
  <c r="Z20" i="11"/>
  <c r="Z94" i="12" l="1"/>
  <c r="Z19" i="11" s="1"/>
  <c r="Z35" i="12"/>
  <c r="Z55" i="12" s="1"/>
  <c r="Z74" i="9"/>
  <c r="Z76" i="9" s="1"/>
  <c r="Z53" i="12"/>
  <c r="AA39" i="9"/>
  <c r="Z95" i="12" l="1"/>
  <c r="AA92" i="12" s="1"/>
  <c r="Z21" i="11"/>
  <c r="AA46" i="9"/>
  <c r="AA47" i="9" s="1"/>
  <c r="Z27" i="11" l="1"/>
  <c r="Z28" i="11"/>
  <c r="Z34" i="11" s="1"/>
  <c r="Z35" i="11" s="1"/>
  <c r="AA48" i="9"/>
  <c r="AA49" i="9"/>
  <c r="AA52" i="9"/>
  <c r="AA54" i="10" l="1"/>
  <c r="AA32" i="12"/>
  <c r="Z36" i="11"/>
  <c r="Z58" i="9"/>
  <c r="Z60" i="9" s="1"/>
  <c r="Z101" i="13" s="1"/>
  <c r="AA62" i="10"/>
  <c r="AA93" i="12" s="1"/>
  <c r="Z29" i="11"/>
  <c r="AA26" i="11" s="1"/>
  <c r="AA75" i="9"/>
  <c r="AA73" i="9"/>
  <c r="AA36" i="12"/>
  <c r="AA59" i="9"/>
  <c r="AA41" i="9"/>
  <c r="AA42" i="9" s="1"/>
  <c r="AA22" i="12"/>
  <c r="AA20" i="11"/>
  <c r="AA94" i="12" l="1"/>
  <c r="AA19" i="11" s="1"/>
  <c r="AA21" i="11" s="1"/>
  <c r="AA35" i="12"/>
  <c r="AA55" i="12" s="1"/>
  <c r="AA74" i="9"/>
  <c r="AA76" i="9" s="1"/>
  <c r="AA53" i="12"/>
  <c r="AB39" i="9"/>
  <c r="AA95" i="12" l="1"/>
  <c r="AB92" i="12" s="1"/>
  <c r="AA28" i="11"/>
  <c r="AA34" i="11" s="1"/>
  <c r="AA35" i="11" s="1"/>
  <c r="AA36" i="11" s="1"/>
  <c r="AA27" i="11"/>
  <c r="AB46" i="9"/>
  <c r="AB47" i="9" s="1"/>
  <c r="AA29" i="11" l="1"/>
  <c r="AB26" i="11" s="1"/>
  <c r="AA58" i="9"/>
  <c r="AA60" i="9" s="1"/>
  <c r="AA101" i="13" s="1"/>
  <c r="AB49" i="9"/>
  <c r="AB48" i="9"/>
  <c r="AB52" i="9"/>
  <c r="AB54" i="10" l="1"/>
  <c r="AB62" i="10" s="1"/>
  <c r="AB93" i="12" s="1"/>
  <c r="AB32" i="12"/>
  <c r="AB75" i="9"/>
  <c r="AB73" i="9"/>
  <c r="AB59" i="9"/>
  <c r="AB41" i="9"/>
  <c r="AB42" i="9" s="1"/>
  <c r="AB36" i="12"/>
  <c r="AB22" i="12"/>
  <c r="AB20" i="11"/>
  <c r="AB94" i="12" l="1"/>
  <c r="AB19" i="11" s="1"/>
  <c r="AB21" i="11" s="1"/>
  <c r="AB53" i="12"/>
  <c r="AC39" i="9"/>
  <c r="AB35" i="12"/>
  <c r="AB55" i="12" s="1"/>
  <c r="AB74" i="9"/>
  <c r="AB76" i="9" s="1"/>
  <c r="AB95" i="12" l="1"/>
  <c r="AC92" i="12" s="1"/>
  <c r="AB27" i="11"/>
  <c r="AB28" i="11"/>
  <c r="AB34" i="11" s="1"/>
  <c r="AB35" i="11" s="1"/>
  <c r="AC46" i="9"/>
  <c r="AC47" i="9" s="1"/>
  <c r="AB58" i="9" l="1"/>
  <c r="AB60" i="9" s="1"/>
  <c r="AB101" i="13" s="1"/>
  <c r="AB29" i="11"/>
  <c r="AC26" i="11" s="1"/>
  <c r="AB36" i="11"/>
  <c r="AC48" i="9"/>
  <c r="AC49" i="9"/>
  <c r="AC52" i="9"/>
  <c r="AC54" i="10" l="1"/>
  <c r="AC62" i="10" s="1"/>
  <c r="AC93" i="12" s="1"/>
  <c r="AC32" i="12"/>
  <c r="AC75" i="9"/>
  <c r="AC73" i="9"/>
  <c r="AC36" i="12"/>
  <c r="AC41" i="9"/>
  <c r="AC42" i="9" s="1"/>
  <c r="AC59" i="9"/>
  <c r="AC22" i="12"/>
  <c r="AC20" i="11"/>
  <c r="AC94" i="12" l="1"/>
  <c r="AC19" i="11" s="1"/>
  <c r="AC21" i="11" s="1"/>
  <c r="AC60" i="9"/>
  <c r="AC101" i="13" s="1"/>
  <c r="AC53" i="12"/>
  <c r="AD39" i="9"/>
  <c r="AC35" i="12"/>
  <c r="AC55" i="12" s="1"/>
  <c r="AC74" i="9"/>
  <c r="AC76" i="9" s="1"/>
  <c r="AC95" i="12" l="1"/>
  <c r="AD92" i="12" s="1"/>
  <c r="AC28" i="11"/>
  <c r="AC34" i="11" s="1"/>
  <c r="AC35" i="11" s="1"/>
  <c r="AC36" i="11" s="1"/>
  <c r="AC27" i="11"/>
  <c r="AD46" i="9"/>
  <c r="AD47" i="9" s="1"/>
  <c r="AC29" i="11" l="1"/>
  <c r="AD26" i="11" s="1"/>
  <c r="AC58" i="9"/>
  <c r="AD49" i="9"/>
  <c r="AD48" i="9"/>
  <c r="AD52" i="9"/>
  <c r="AD54" i="10" l="1"/>
  <c r="AD62" i="10" s="1"/>
  <c r="AD93" i="12" s="1"/>
  <c r="AD32" i="12"/>
  <c r="AD75" i="9"/>
  <c r="AD73" i="9"/>
  <c r="AD36" i="12"/>
  <c r="AD59" i="9"/>
  <c r="AD41" i="9"/>
  <c r="AD42" i="9" s="1"/>
  <c r="AD22" i="12"/>
  <c r="AD20" i="11"/>
  <c r="AD94" i="12" l="1"/>
  <c r="AD19" i="11" s="1"/>
  <c r="AD21" i="11" s="1"/>
  <c r="AD28" i="11" s="1"/>
  <c r="AD34" i="11" s="1"/>
  <c r="AD35" i="11" s="1"/>
  <c r="AD53" i="12"/>
  <c r="AE39" i="9"/>
  <c r="AD60" i="9"/>
  <c r="AD101" i="13" s="1"/>
  <c r="AD35" i="12"/>
  <c r="AD55" i="12" s="1"/>
  <c r="AD74" i="9"/>
  <c r="AD76" i="9" s="1"/>
  <c r="AD95" i="12" l="1"/>
  <c r="AE92" i="12" s="1"/>
  <c r="AD58" i="9"/>
  <c r="AD27" i="11"/>
  <c r="AD29" i="11" s="1"/>
  <c r="AE26" i="11" s="1"/>
  <c r="AD36" i="11"/>
  <c r="AE46" i="9"/>
  <c r="AE47" i="9" s="1"/>
  <c r="AE48" i="9" l="1"/>
  <c r="AE49" i="9"/>
  <c r="AE52" i="9"/>
  <c r="AE54" i="10" l="1"/>
  <c r="AE62" i="10" s="1"/>
  <c r="AE93" i="12" s="1"/>
  <c r="AE32" i="12"/>
  <c r="AE75" i="9"/>
  <c r="AE73" i="9"/>
  <c r="AE59" i="9"/>
  <c r="AE36" i="12"/>
  <c r="AE41" i="9"/>
  <c r="AE42" i="9" s="1"/>
  <c r="AE22" i="12"/>
  <c r="AE20" i="11"/>
  <c r="AE94" i="12" l="1"/>
  <c r="AE19" i="11" s="1"/>
  <c r="AE21" i="11" s="1"/>
  <c r="AE35" i="12"/>
  <c r="AE55" i="12" s="1"/>
  <c r="AE74" i="9"/>
  <c r="AE76" i="9" s="1"/>
  <c r="AE60" i="9"/>
  <c r="AE101" i="13" s="1"/>
  <c r="AE53" i="12"/>
  <c r="AF39" i="9"/>
  <c r="AE95" i="12" l="1"/>
  <c r="AF92" i="12" s="1"/>
  <c r="AE28" i="11"/>
  <c r="AE34" i="11" s="1"/>
  <c r="AE35" i="11" s="1"/>
  <c r="AE27" i="11"/>
  <c r="AF46" i="9"/>
  <c r="AF47" i="9" s="1"/>
  <c r="AE58" i="9" l="1"/>
  <c r="AE29" i="11"/>
  <c r="AF26" i="11" s="1"/>
  <c r="AE36" i="11"/>
  <c r="AF49" i="9"/>
  <c r="AF48" i="9"/>
  <c r="AF52" i="9"/>
  <c r="AF54" i="10" l="1"/>
  <c r="AF62" i="10" s="1"/>
  <c r="AF93" i="12" s="1"/>
  <c r="AF32" i="12"/>
  <c r="AF75" i="9"/>
  <c r="AF73" i="9"/>
  <c r="AF36" i="12"/>
  <c r="AF41" i="9"/>
  <c r="AF42" i="9" s="1"/>
  <c r="AF59" i="9"/>
  <c r="AF22" i="12"/>
  <c r="AF20" i="11"/>
  <c r="AF94" i="12" l="1"/>
  <c r="AF19" i="11" s="1"/>
  <c r="AF21" i="11" s="1"/>
  <c r="AF60" i="9"/>
  <c r="AF101" i="13" s="1"/>
  <c r="AF53" i="12"/>
  <c r="AG39" i="9"/>
  <c r="AF35" i="12"/>
  <c r="AF55" i="12" s="1"/>
  <c r="AF74" i="9"/>
  <c r="AF76" i="9" s="1"/>
  <c r="AF28" i="11" l="1"/>
  <c r="AF34" i="11" s="1"/>
  <c r="AF35" i="11" s="1"/>
  <c r="AF36" i="11" s="1"/>
  <c r="AF27" i="11"/>
  <c r="AF95" i="12"/>
  <c r="AG92" i="12" s="1"/>
  <c r="AG46" i="9"/>
  <c r="AG47" i="9" s="1"/>
  <c r="AF29" i="11" l="1"/>
  <c r="AG26" i="11" s="1"/>
  <c r="AF58" i="9"/>
  <c r="AG48" i="9"/>
  <c r="AG49" i="9"/>
  <c r="AG52" i="9"/>
  <c r="I47" i="9"/>
  <c r="AG54" i="10" l="1"/>
  <c r="AG32" i="12"/>
  <c r="AG75" i="9"/>
  <c r="AG73" i="9"/>
  <c r="AG36" i="12"/>
  <c r="AG41" i="9"/>
  <c r="AG42" i="9" s="1"/>
  <c r="AG59" i="9"/>
  <c r="I52" i="9"/>
  <c r="AG20" i="11"/>
  <c r="AG22" i="12"/>
  <c r="I49" i="9"/>
  <c r="I75" i="9"/>
  <c r="I48" i="9"/>
  <c r="AG62" i="10" l="1"/>
  <c r="I54" i="10"/>
  <c r="G55" i="10" s="1"/>
  <c r="K57" i="10" s="1"/>
  <c r="AG53" i="12"/>
  <c r="G66" i="9"/>
  <c r="G43" i="9"/>
  <c r="AG35" i="12"/>
  <c r="AG55" i="12" s="1"/>
  <c r="AG74" i="9"/>
  <c r="I73" i="9"/>
  <c r="G22" i="9" s="1"/>
  <c r="I20" i="11"/>
  <c r="AG60" i="9"/>
  <c r="AG101" i="13" s="1"/>
  <c r="G63" i="9"/>
  <c r="K20" i="1" s="1"/>
  <c r="K63" i="10" l="1"/>
  <c r="K58" i="10"/>
  <c r="AG93" i="12"/>
  <c r="I62" i="10"/>
  <c r="I13" i="10" s="1"/>
  <c r="K18" i="1"/>
  <c r="G23" i="9"/>
  <c r="H16" i="9" s="1"/>
  <c r="AG76" i="9"/>
  <c r="I76" i="9" s="1"/>
  <c r="H69" i="9" s="1"/>
  <c r="I74" i="9"/>
  <c r="G62" i="9" a="1"/>
  <c r="G62" i="9" s="1"/>
  <c r="H38" i="9"/>
  <c r="H2" i="9" l="1"/>
  <c r="G13" i="9"/>
  <c r="AG94" i="12"/>
  <c r="AG19" i="11" s="1"/>
  <c r="L56" i="10"/>
  <c r="K64" i="10"/>
  <c r="K21" i="12"/>
  <c r="K20" i="12"/>
  <c r="K65" i="10"/>
  <c r="K29" i="12"/>
  <c r="K19" i="1"/>
  <c r="G64" i="9"/>
  <c r="K49" i="12" l="1"/>
  <c r="K96" i="12"/>
  <c r="K97" i="12" s="1"/>
  <c r="K98" i="12" s="1"/>
  <c r="K99" i="12" s="1"/>
  <c r="K24" i="12" s="1"/>
  <c r="I19" i="11"/>
  <c r="AG21" i="11"/>
  <c r="L57" i="10"/>
  <c r="L63" i="10" s="1"/>
  <c r="K67" i="12"/>
  <c r="K69" i="12" s="1"/>
  <c r="K71" i="12" s="1"/>
  <c r="K23" i="12"/>
  <c r="K54" i="12"/>
  <c r="K30" i="12"/>
  <c r="AG95" i="12"/>
  <c r="L58" i="10" l="1"/>
  <c r="M56" i="10" s="1"/>
  <c r="K25" i="12"/>
  <c r="K92" i="13" s="1"/>
  <c r="K72" i="12"/>
  <c r="AG28" i="11"/>
  <c r="AG34" i="11" s="1"/>
  <c r="AG27" i="11"/>
  <c r="I21" i="11"/>
  <c r="H16" i="11"/>
  <c r="L20" i="12"/>
  <c r="L29" i="12"/>
  <c r="L21" i="12"/>
  <c r="L30" i="12" s="1"/>
  <c r="L65" i="10"/>
  <c r="L64" i="10" l="1"/>
  <c r="K28" i="12"/>
  <c r="K31" i="12" s="1"/>
  <c r="K37" i="12" s="1"/>
  <c r="K38" i="12" s="1"/>
  <c r="K48" i="12" s="1"/>
  <c r="K50" i="12" s="1"/>
  <c r="K42" i="12"/>
  <c r="K44" i="12" s="1"/>
  <c r="K56" i="12" s="1"/>
  <c r="K57" i="12" s="1"/>
  <c r="AG29" i="11"/>
  <c r="L54" i="12"/>
  <c r="L67" i="12"/>
  <c r="L69" i="12" s="1"/>
  <c r="L71" i="12" s="1"/>
  <c r="L72" i="12" s="1"/>
  <c r="L23" i="12"/>
  <c r="I34" i="11"/>
  <c r="AG35" i="11"/>
  <c r="I104" i="12" s="1"/>
  <c r="H2" i="11"/>
  <c r="G13" i="11"/>
  <c r="M57" i="10"/>
  <c r="M63" i="10" s="1"/>
  <c r="M65" i="10" s="1"/>
  <c r="L49" i="12"/>
  <c r="L96" i="12"/>
  <c r="L97" i="12" s="1"/>
  <c r="L98" i="12" s="1"/>
  <c r="L99" i="12" s="1"/>
  <c r="L24" i="12" s="1"/>
  <c r="K98" i="13"/>
  <c r="K95" i="13" l="1"/>
  <c r="L41" i="12"/>
  <c r="K58" i="12"/>
  <c r="AG58" i="9"/>
  <c r="L98" i="13"/>
  <c r="I35" i="11"/>
  <c r="AG36" i="11"/>
  <c r="I36" i="11" s="1"/>
  <c r="M58" i="10"/>
  <c r="L25" i="12"/>
  <c r="M20" i="12"/>
  <c r="M29" i="12"/>
  <c r="M21" i="12"/>
  <c r="L92" i="13" l="1"/>
  <c r="L42" i="12"/>
  <c r="L44" i="12" s="1"/>
  <c r="L28" i="12"/>
  <c r="L31" i="12" s="1"/>
  <c r="L37" i="12" s="1"/>
  <c r="L38" i="12" s="1"/>
  <c r="M30" i="12"/>
  <c r="M54" i="12"/>
  <c r="N56" i="10"/>
  <c r="N57" i="10" s="1"/>
  <c r="M64" i="10"/>
  <c r="M67" i="12"/>
  <c r="M69" i="12" s="1"/>
  <c r="M71" i="12" s="1"/>
  <c r="M23" i="12"/>
  <c r="M72" i="12" l="1"/>
  <c r="M49" i="12"/>
  <c r="M96" i="12"/>
  <c r="M97" i="12" s="1"/>
  <c r="M98" i="12" s="1"/>
  <c r="M99" i="12" s="1"/>
  <c r="L48" i="12"/>
  <c r="L50" i="12" s="1"/>
  <c r="L95" i="13"/>
  <c r="N58" i="10"/>
  <c r="N63" i="10"/>
  <c r="M41" i="12"/>
  <c r="L56" i="12"/>
  <c r="L57" i="12" s="1"/>
  <c r="M24" i="12" l="1"/>
  <c r="M25" i="12" s="1"/>
  <c r="O56" i="10"/>
  <c r="O57" i="10" s="1"/>
  <c r="N64" i="10"/>
  <c r="L58" i="12"/>
  <c r="M98" i="13"/>
  <c r="N21" i="12"/>
  <c r="N20" i="12"/>
  <c r="N29" i="12"/>
  <c r="N65" i="10"/>
  <c r="M28" i="12" l="1"/>
  <c r="M31" i="12" s="1"/>
  <c r="M37" i="12" s="1"/>
  <c r="M38" i="12" s="1"/>
  <c r="M95" i="13" s="1"/>
  <c r="M92" i="13"/>
  <c r="M42" i="12"/>
  <c r="M44" i="12" s="1"/>
  <c r="N41" i="12" s="1"/>
  <c r="O58" i="10"/>
  <c r="O63" i="10"/>
  <c r="O65" i="10" s="1"/>
  <c r="K33" i="1"/>
  <c r="N67" i="12"/>
  <c r="N69" i="12" s="1"/>
  <c r="N23" i="12"/>
  <c r="N30" i="12"/>
  <c r="N54" i="12"/>
  <c r="N49" i="12"/>
  <c r="N96" i="12"/>
  <c r="N97" i="12" s="1"/>
  <c r="N98" i="12" s="1"/>
  <c r="N99" i="12" s="1"/>
  <c r="N24" i="12" s="1"/>
  <c r="M48" i="12" l="1"/>
  <c r="M50" i="12" s="1"/>
  <c r="M56" i="12"/>
  <c r="M57" i="12" s="1"/>
  <c r="N71" i="12"/>
  <c r="O29" i="12"/>
  <c r="O21" i="12"/>
  <c r="O30" i="12" s="1"/>
  <c r="O20" i="12"/>
  <c r="N25" i="12"/>
  <c r="P56" i="10"/>
  <c r="P57" i="10" s="1"/>
  <c r="O64" i="10"/>
  <c r="M58" i="12" l="1"/>
  <c r="O54" i="12"/>
  <c r="O67" i="12"/>
  <c r="O69" i="12" s="1"/>
  <c r="O23" i="12"/>
  <c r="K34" i="1"/>
  <c r="N92" i="13"/>
  <c r="N42" i="12"/>
  <c r="N44" i="12" s="1"/>
  <c r="N28" i="12"/>
  <c r="N31" i="12" s="1"/>
  <c r="N72" i="12"/>
  <c r="O96" i="12"/>
  <c r="O97" i="12" s="1"/>
  <c r="O98" i="12" s="1"/>
  <c r="O99" i="12" s="1"/>
  <c r="O24" i="12" s="1"/>
  <c r="O49" i="12"/>
  <c r="P58" i="10"/>
  <c r="P63" i="10"/>
  <c r="P21" i="12" l="1"/>
  <c r="P20" i="12"/>
  <c r="P29" i="12"/>
  <c r="P65" i="10"/>
  <c r="N56" i="12"/>
  <c r="N57" i="12" s="1"/>
  <c r="O41" i="12"/>
  <c r="O71" i="12"/>
  <c r="Q56" i="10"/>
  <c r="Q57" i="10" s="1"/>
  <c r="P64" i="10"/>
  <c r="N98" i="13"/>
  <c r="K35" i="1"/>
  <c r="N37" i="12"/>
  <c r="N38" i="12" s="1"/>
  <c r="O25" i="12"/>
  <c r="Q58" i="10" l="1"/>
  <c r="Q63" i="10"/>
  <c r="O42" i="12"/>
  <c r="O44" i="12" s="1"/>
  <c r="O92" i="13"/>
  <c r="O28" i="12"/>
  <c r="O31" i="12" s="1"/>
  <c r="O37" i="12" s="1"/>
  <c r="O38" i="12" s="1"/>
  <c r="O72" i="12"/>
  <c r="P96" i="12"/>
  <c r="P97" i="12" s="1"/>
  <c r="P98" i="12" s="1"/>
  <c r="P99" i="12" s="1"/>
  <c r="P24" i="12" s="1"/>
  <c r="P49" i="12"/>
  <c r="P67" i="12"/>
  <c r="P69" i="12" s="1"/>
  <c r="P23" i="12"/>
  <c r="N48" i="12"/>
  <c r="N50" i="12" s="1"/>
  <c r="N58" i="12" s="1"/>
  <c r="N95" i="13"/>
  <c r="P30" i="12"/>
  <c r="P54" i="12"/>
  <c r="P25" i="12" l="1"/>
  <c r="P28" i="12" s="1"/>
  <c r="P31" i="12" s="1"/>
  <c r="P37" i="12" s="1"/>
  <c r="P38" i="12" s="1"/>
  <c r="P41" i="12"/>
  <c r="O56" i="12"/>
  <c r="O57" i="12" s="1"/>
  <c r="O98" i="13"/>
  <c r="Q20" i="12"/>
  <c r="Q29" i="12"/>
  <c r="Q21" i="12"/>
  <c r="Q30" i="12" s="1"/>
  <c r="O48" i="12"/>
  <c r="O50" i="12" s="1"/>
  <c r="O95" i="13"/>
  <c r="R56" i="10"/>
  <c r="R57" i="10" s="1"/>
  <c r="Q64" i="10"/>
  <c r="P71" i="12"/>
  <c r="P72" i="12" s="1"/>
  <c r="Q65" i="10"/>
  <c r="P42" i="12" l="1"/>
  <c r="P92" i="13"/>
  <c r="O58" i="12"/>
  <c r="P98" i="13"/>
  <c r="Q96" i="12"/>
  <c r="Q97" i="12" s="1"/>
  <c r="Q98" i="12" s="1"/>
  <c r="Q99" i="12" s="1"/>
  <c r="Q24" i="12" s="1"/>
  <c r="Q49" i="12"/>
  <c r="R58" i="10"/>
  <c r="R63" i="10"/>
  <c r="Q67" i="12"/>
  <c r="Q69" i="12" s="1"/>
  <c r="Q23" i="12"/>
  <c r="P48" i="12"/>
  <c r="P50" i="12" s="1"/>
  <c r="P95" i="13"/>
  <c r="P44" i="12"/>
  <c r="Q54" i="12"/>
  <c r="Q25" i="12" l="1"/>
  <c r="Q42" i="12" s="1"/>
  <c r="Q71" i="12"/>
  <c r="Q72" i="12" s="1"/>
  <c r="Q98" i="13" s="1"/>
  <c r="R20" i="12"/>
  <c r="R29" i="12"/>
  <c r="R21" i="12"/>
  <c r="R30" i="12" s="1"/>
  <c r="R65" i="10"/>
  <c r="S56" i="10"/>
  <c r="S57" i="10" s="1"/>
  <c r="R64" i="10"/>
  <c r="Q41" i="12"/>
  <c r="P56" i="12"/>
  <c r="P57" i="12" s="1"/>
  <c r="P58" i="12" s="1"/>
  <c r="Q28" i="12" l="1"/>
  <c r="Q31" i="12" s="1"/>
  <c r="Q37" i="12" s="1"/>
  <c r="Q38" i="12" s="1"/>
  <c r="Q95" i="13" s="1"/>
  <c r="Q92" i="13"/>
  <c r="R54" i="12"/>
  <c r="S58" i="10"/>
  <c r="S63" i="10"/>
  <c r="S65" i="10" s="1"/>
  <c r="R67" i="12"/>
  <c r="R69" i="12" s="1"/>
  <c r="R23" i="12"/>
  <c r="R49" i="12"/>
  <c r="R96" i="12"/>
  <c r="R97" i="12" s="1"/>
  <c r="R98" i="12" s="1"/>
  <c r="R99" i="12" s="1"/>
  <c r="R24" i="12" s="1"/>
  <c r="Q44" i="12"/>
  <c r="Q48" i="12" l="1"/>
  <c r="Q50" i="12" s="1"/>
  <c r="R25" i="12"/>
  <c r="R41" i="12"/>
  <c r="Q56" i="12"/>
  <c r="Q57" i="12" s="1"/>
  <c r="R71" i="12"/>
  <c r="R72" i="12" s="1"/>
  <c r="R98" i="13" s="1"/>
  <c r="S20" i="12"/>
  <c r="S29" i="12"/>
  <c r="S21" i="12"/>
  <c r="T56" i="10"/>
  <c r="T57" i="10" s="1"/>
  <c r="S64" i="10"/>
  <c r="Q58" i="12" l="1"/>
  <c r="S96" i="12"/>
  <c r="S97" i="12" s="1"/>
  <c r="S98" i="12" s="1"/>
  <c r="S99" i="12" s="1"/>
  <c r="S24" i="12" s="1"/>
  <c r="S49" i="12"/>
  <c r="T58" i="10"/>
  <c r="T63" i="10"/>
  <c r="S67" i="12"/>
  <c r="S69" i="12" s="1"/>
  <c r="S71" i="12" s="1"/>
  <c r="S72" i="12" s="1"/>
  <c r="S98" i="13" s="1"/>
  <c r="S23" i="12"/>
  <c r="S30" i="12"/>
  <c r="S54" i="12"/>
  <c r="R92" i="13"/>
  <c r="R28" i="12"/>
  <c r="R31" i="12" s="1"/>
  <c r="R37" i="12" s="1"/>
  <c r="R38" i="12" s="1"/>
  <c r="R42" i="12"/>
  <c r="R44" i="12" s="1"/>
  <c r="S25" i="12" l="1"/>
  <c r="S92" i="13" s="1"/>
  <c r="T29" i="12"/>
  <c r="T21" i="12"/>
  <c r="T30" i="12" s="1"/>
  <c r="T20" i="12"/>
  <c r="T65" i="10"/>
  <c r="S41" i="12"/>
  <c r="R56" i="12"/>
  <c r="R57" i="12" s="1"/>
  <c r="U56" i="10"/>
  <c r="U57" i="10" s="1"/>
  <c r="T64" i="10"/>
  <c r="R48" i="12"/>
  <c r="R50" i="12" s="1"/>
  <c r="R95" i="13"/>
  <c r="S28" i="12" l="1"/>
  <c r="S31" i="12" s="1"/>
  <c r="S37" i="12" s="1"/>
  <c r="S38" i="12" s="1"/>
  <c r="S48" i="12" s="1"/>
  <c r="S50" i="12" s="1"/>
  <c r="S42" i="12"/>
  <c r="S44" i="12" s="1"/>
  <c r="S56" i="12" s="1"/>
  <c r="S57" i="12" s="1"/>
  <c r="R58" i="12"/>
  <c r="T54" i="12"/>
  <c r="U58" i="10"/>
  <c r="U63" i="10"/>
  <c r="T67" i="12"/>
  <c r="T69" i="12" s="1"/>
  <c r="T71" i="12" s="1"/>
  <c r="T72" i="12" s="1"/>
  <c r="T98" i="13" s="1"/>
  <c r="T23" i="12"/>
  <c r="T49" i="12"/>
  <c r="T96" i="12"/>
  <c r="T97" i="12" s="1"/>
  <c r="T98" i="12" s="1"/>
  <c r="T99" i="12" s="1"/>
  <c r="T24" i="12" s="1"/>
  <c r="S95" i="13" l="1"/>
  <c r="T41" i="12"/>
  <c r="T25" i="12"/>
  <c r="T28" i="12" s="1"/>
  <c r="T31" i="12" s="1"/>
  <c r="T37" i="12" s="1"/>
  <c r="T38" i="12" s="1"/>
  <c r="U29" i="12"/>
  <c r="U21" i="12"/>
  <c r="U20" i="12"/>
  <c r="U65" i="10"/>
  <c r="V56" i="10"/>
  <c r="V57" i="10" s="1"/>
  <c r="U64" i="10"/>
  <c r="S58" i="12"/>
  <c r="T92" i="13" l="1"/>
  <c r="T42" i="12"/>
  <c r="T44" i="12" s="1"/>
  <c r="T56" i="12" s="1"/>
  <c r="T57" i="12" s="1"/>
  <c r="V58" i="10"/>
  <c r="V63" i="10"/>
  <c r="T95" i="13"/>
  <c r="T48" i="12"/>
  <c r="T50" i="12" s="1"/>
  <c r="U67" i="12"/>
  <c r="U69" i="12" s="1"/>
  <c r="U71" i="12" s="1"/>
  <c r="U72" i="12" s="1"/>
  <c r="U98" i="13" s="1"/>
  <c r="U23" i="12"/>
  <c r="U96" i="12"/>
  <c r="U97" i="12" s="1"/>
  <c r="U98" i="12" s="1"/>
  <c r="U99" i="12" s="1"/>
  <c r="U24" i="12" s="1"/>
  <c r="U49" i="12"/>
  <c r="U30" i="12"/>
  <c r="U54" i="12"/>
  <c r="U41" i="12" l="1"/>
  <c r="T58" i="12"/>
  <c r="V20" i="12"/>
  <c r="V29" i="12"/>
  <c r="V21" i="12"/>
  <c r="V30" i="12" s="1"/>
  <c r="W56" i="10"/>
  <c r="W57" i="10" s="1"/>
  <c r="V64" i="10"/>
  <c r="U25" i="12"/>
  <c r="V65" i="10"/>
  <c r="U42" i="12" l="1"/>
  <c r="U44" i="12" s="1"/>
  <c r="U28" i="12"/>
  <c r="U31" i="12" s="1"/>
  <c r="U37" i="12" s="1"/>
  <c r="U38" i="12" s="1"/>
  <c r="U92" i="13"/>
  <c r="V54" i="12"/>
  <c r="V49" i="12"/>
  <c r="V96" i="12"/>
  <c r="V97" i="12" s="1"/>
  <c r="V98" i="12" s="1"/>
  <c r="V99" i="12" s="1"/>
  <c r="V24" i="12" s="1"/>
  <c r="V67" i="12"/>
  <c r="V69" i="12" s="1"/>
  <c r="V71" i="12" s="1"/>
  <c r="V72" i="12" s="1"/>
  <c r="V98" i="13" s="1"/>
  <c r="V23" i="12"/>
  <c r="W58" i="10"/>
  <c r="W63" i="10"/>
  <c r="W65" i="10" s="1"/>
  <c r="V25" i="12" l="1"/>
  <c r="V28" i="12" s="1"/>
  <c r="V31" i="12" s="1"/>
  <c r="V37" i="12" s="1"/>
  <c r="V38" i="12" s="1"/>
  <c r="X56" i="10"/>
  <c r="X57" i="10" s="1"/>
  <c r="W64" i="10"/>
  <c r="U48" i="12"/>
  <c r="U50" i="12" s="1"/>
  <c r="U95" i="13"/>
  <c r="W21" i="12"/>
  <c r="W30" i="12" s="1"/>
  <c r="W29" i="12"/>
  <c r="W20" i="12"/>
  <c r="V41" i="12"/>
  <c r="U56" i="12"/>
  <c r="U57" i="12" s="1"/>
  <c r="V92" i="13" l="1"/>
  <c r="V42" i="12"/>
  <c r="V44" i="12" s="1"/>
  <c r="W96" i="12"/>
  <c r="W97" i="12" s="1"/>
  <c r="W98" i="12" s="1"/>
  <c r="W99" i="12" s="1"/>
  <c r="W24" i="12" s="1"/>
  <c r="W49" i="12"/>
  <c r="X58" i="10"/>
  <c r="X63" i="10"/>
  <c r="W54" i="12"/>
  <c r="V48" i="12"/>
  <c r="V50" i="12" s="1"/>
  <c r="V95" i="13"/>
  <c r="W67" i="12"/>
  <c r="W69" i="12" s="1"/>
  <c r="W71" i="12" s="1"/>
  <c r="W72" i="12" s="1"/>
  <c r="W98" i="13" s="1"/>
  <c r="W23" i="12"/>
  <c r="U58" i="12"/>
  <c r="W25" i="12" l="1"/>
  <c r="X20" i="12"/>
  <c r="X29" i="12"/>
  <c r="X21" i="12"/>
  <c r="X30" i="12" s="1"/>
  <c r="X65" i="10"/>
  <c r="V56" i="12"/>
  <c r="V57" i="12" s="1"/>
  <c r="V58" i="12" s="1"/>
  <c r="W41" i="12"/>
  <c r="Y56" i="10"/>
  <c r="Y57" i="10" s="1"/>
  <c r="X64" i="10"/>
  <c r="Y58" i="10" l="1"/>
  <c r="Y63" i="10"/>
  <c r="Y65" i="10" s="1"/>
  <c r="W42" i="12"/>
  <c r="W44" i="12" s="1"/>
  <c r="W28" i="12"/>
  <c r="W31" i="12" s="1"/>
  <c r="W37" i="12" s="1"/>
  <c r="W38" i="12" s="1"/>
  <c r="W92" i="13"/>
  <c r="X96" i="12"/>
  <c r="X97" i="12" s="1"/>
  <c r="X98" i="12" s="1"/>
  <c r="X99" i="12" s="1"/>
  <c r="X24" i="12" s="1"/>
  <c r="X49" i="12"/>
  <c r="X54" i="12"/>
  <c r="X67" i="12"/>
  <c r="X69" i="12" s="1"/>
  <c r="X71" i="12" s="1"/>
  <c r="X72" i="12" s="1"/>
  <c r="X98" i="13" s="1"/>
  <c r="X23" i="12"/>
  <c r="X25" i="12" l="1"/>
  <c r="X92" i="13" s="1"/>
  <c r="W56" i="12"/>
  <c r="W57" i="12" s="1"/>
  <c r="X41" i="12"/>
  <c r="Z56" i="10"/>
  <c r="Z57" i="10" s="1"/>
  <c r="Y64" i="10"/>
  <c r="W48" i="12"/>
  <c r="W50" i="12" s="1"/>
  <c r="W95" i="13"/>
  <c r="Y29" i="12"/>
  <c r="Y21" i="12"/>
  <c r="Y30" i="12" s="1"/>
  <c r="Y20" i="12"/>
  <c r="W58" i="12" l="1"/>
  <c r="X42" i="12"/>
  <c r="X44" i="12" s="1"/>
  <c r="X28" i="12"/>
  <c r="X31" i="12" s="1"/>
  <c r="X37" i="12" s="1"/>
  <c r="X38" i="12" s="1"/>
  <c r="X95" i="13" s="1"/>
  <c r="Y49" i="12"/>
  <c r="Y96" i="12"/>
  <c r="Y97" i="12" s="1"/>
  <c r="Y98" i="12" s="1"/>
  <c r="Y99" i="12" s="1"/>
  <c r="Y24" i="12" s="1"/>
  <c r="Y54" i="12"/>
  <c r="Y67" i="12"/>
  <c r="Y69" i="12" s="1"/>
  <c r="Y71" i="12" s="1"/>
  <c r="Y72" i="12" s="1"/>
  <c r="Y98" i="13" s="1"/>
  <c r="Y23" i="12"/>
  <c r="Z58" i="10"/>
  <c r="Z63" i="10"/>
  <c r="Y41" i="12" l="1"/>
  <c r="X56" i="12"/>
  <c r="X57" i="12" s="1"/>
  <c r="X48" i="12"/>
  <c r="X50" i="12" s="1"/>
  <c r="Y25" i="12"/>
  <c r="Y92" i="13" s="1"/>
  <c r="AA56" i="10"/>
  <c r="AA57" i="10" s="1"/>
  <c r="Z64" i="10"/>
  <c r="Z20" i="12"/>
  <c r="Z29" i="12"/>
  <c r="Z21" i="12"/>
  <c r="Z30" i="12" s="1"/>
  <c r="Z65" i="10"/>
  <c r="X58" i="12" l="1"/>
  <c r="Y28" i="12"/>
  <c r="Y31" i="12" s="1"/>
  <c r="Y37" i="12" s="1"/>
  <c r="Y38" i="12" s="1"/>
  <c r="Y95" i="13" s="1"/>
  <c r="Y42" i="12"/>
  <c r="Y44" i="12" s="1"/>
  <c r="Z41" i="12" s="1"/>
  <c r="AA58" i="10"/>
  <c r="AA63" i="10"/>
  <c r="AA65" i="10" s="1"/>
  <c r="Z54" i="12"/>
  <c r="Z67" i="12"/>
  <c r="Z69" i="12" s="1"/>
  <c r="Z71" i="12" s="1"/>
  <c r="Z72" i="12" s="1"/>
  <c r="Z98" i="13" s="1"/>
  <c r="Z23" i="12"/>
  <c r="Z49" i="12"/>
  <c r="Z96" i="12"/>
  <c r="Z97" i="12" s="1"/>
  <c r="Z98" i="12" s="1"/>
  <c r="Z99" i="12" s="1"/>
  <c r="Z24" i="12" s="1"/>
  <c r="Y56" i="12" l="1"/>
  <c r="Y57" i="12" s="1"/>
  <c r="Y48" i="12"/>
  <c r="Y50" i="12" s="1"/>
  <c r="Z25" i="12"/>
  <c r="Z42" i="12" s="1"/>
  <c r="Z44" i="12" s="1"/>
  <c r="AB56" i="10"/>
  <c r="AB57" i="10" s="1"/>
  <c r="AA64" i="10"/>
  <c r="AA20" i="12"/>
  <c r="AA29" i="12"/>
  <c r="AA21" i="12"/>
  <c r="AA30" i="12" s="1"/>
  <c r="Y58" i="12" l="1"/>
  <c r="Z92" i="13"/>
  <c r="Z28" i="12"/>
  <c r="Z31" i="12" s="1"/>
  <c r="Z37" i="12" s="1"/>
  <c r="Z38" i="12" s="1"/>
  <c r="Z95" i="13" s="1"/>
  <c r="AB58" i="10"/>
  <c r="AB63" i="10"/>
  <c r="AA96" i="12"/>
  <c r="AA97" i="12" s="1"/>
  <c r="AA98" i="12" s="1"/>
  <c r="AA99" i="12" s="1"/>
  <c r="AA24" i="12" s="1"/>
  <c r="AA49" i="12"/>
  <c r="AA41" i="12"/>
  <c r="Z56" i="12"/>
  <c r="Z57" i="12" s="1"/>
  <c r="AA67" i="12"/>
  <c r="AA69" i="12" s="1"/>
  <c r="AA71" i="12" s="1"/>
  <c r="AA72" i="12" s="1"/>
  <c r="AA98" i="13" s="1"/>
  <c r="AA23" i="12"/>
  <c r="AA54" i="12"/>
  <c r="Z48" i="12" l="1"/>
  <c r="Z50" i="12" s="1"/>
  <c r="Z58" i="12" s="1"/>
  <c r="AB21" i="12"/>
  <c r="AB30" i="12" s="1"/>
  <c r="AB29" i="12"/>
  <c r="AB20" i="12"/>
  <c r="AB65" i="10"/>
  <c r="AC56" i="10"/>
  <c r="AC57" i="10" s="1"/>
  <c r="AB64" i="10"/>
  <c r="AA25" i="12"/>
  <c r="AB54" i="12" l="1"/>
  <c r="AA28" i="12"/>
  <c r="AA31" i="12" s="1"/>
  <c r="AA37" i="12" s="1"/>
  <c r="AA38" i="12" s="1"/>
  <c r="AA92" i="13"/>
  <c r="AA42" i="12"/>
  <c r="AA44" i="12" s="1"/>
  <c r="AB49" i="12"/>
  <c r="AB96" i="12"/>
  <c r="AB97" i="12" s="1"/>
  <c r="AB98" i="12" s="1"/>
  <c r="AB99" i="12" s="1"/>
  <c r="AB24" i="12" s="1"/>
  <c r="AB67" i="12"/>
  <c r="AB69" i="12" s="1"/>
  <c r="AB71" i="12" s="1"/>
  <c r="AB72" i="12" s="1"/>
  <c r="AB98" i="13" s="1"/>
  <c r="AB23" i="12"/>
  <c r="AC58" i="10"/>
  <c r="AC63" i="10"/>
  <c r="AC65" i="10" s="1"/>
  <c r="AD56" i="10" l="1"/>
  <c r="AD57" i="10" s="1"/>
  <c r="AC64" i="10"/>
  <c r="AB25" i="12"/>
  <c r="AA56" i="12"/>
  <c r="AA57" i="12" s="1"/>
  <c r="AB41" i="12"/>
  <c r="AC20" i="12"/>
  <c r="AC29" i="12"/>
  <c r="AC21" i="12"/>
  <c r="AA48" i="12"/>
  <c r="AA50" i="12" s="1"/>
  <c r="AA95" i="13"/>
  <c r="AA58" i="12" l="1"/>
  <c r="AB42" i="12"/>
  <c r="AB44" i="12" s="1"/>
  <c r="AB92" i="13"/>
  <c r="AB28" i="12"/>
  <c r="AB31" i="12" s="1"/>
  <c r="AB37" i="12" s="1"/>
  <c r="AB38" i="12" s="1"/>
  <c r="AC67" i="12"/>
  <c r="AC69" i="12" s="1"/>
  <c r="AC71" i="12" s="1"/>
  <c r="AC72" i="12" s="1"/>
  <c r="AC98" i="13" s="1"/>
  <c r="AC23" i="12"/>
  <c r="AC49" i="12"/>
  <c r="AC96" i="12"/>
  <c r="AC97" i="12" s="1"/>
  <c r="AC98" i="12" s="1"/>
  <c r="AC99" i="12" s="1"/>
  <c r="AC24" i="12" s="1"/>
  <c r="AD58" i="10"/>
  <c r="AD63" i="10"/>
  <c r="AC30" i="12"/>
  <c r="AC54" i="12"/>
  <c r="AB95" i="13" l="1"/>
  <c r="AB48" i="12"/>
  <c r="AB50" i="12" s="1"/>
  <c r="AE56" i="10"/>
  <c r="AE57" i="10" s="1"/>
  <c r="AD64" i="10"/>
  <c r="AD29" i="12"/>
  <c r="AD21" i="12"/>
  <c r="AD30" i="12" s="1"/>
  <c r="AD20" i="12"/>
  <c r="AD65" i="10"/>
  <c r="AC25" i="12"/>
  <c r="AB56" i="12"/>
  <c r="AB57" i="12" s="1"/>
  <c r="AC41" i="12"/>
  <c r="AD67" i="12" l="1"/>
  <c r="AD69" i="12" s="1"/>
  <c r="AD71" i="12" s="1"/>
  <c r="AD72" i="12" s="1"/>
  <c r="AD98" i="13" s="1"/>
  <c r="AD23" i="12"/>
  <c r="AE58" i="10"/>
  <c r="AE63" i="10"/>
  <c r="AE65" i="10" s="1"/>
  <c r="AB58" i="12"/>
  <c r="AC42" i="12"/>
  <c r="AC44" i="12" s="1"/>
  <c r="AC28" i="12"/>
  <c r="AC31" i="12" s="1"/>
  <c r="AC37" i="12" s="1"/>
  <c r="AC38" i="12" s="1"/>
  <c r="AC92" i="13"/>
  <c r="AD49" i="12"/>
  <c r="AD96" i="12"/>
  <c r="AD97" i="12" s="1"/>
  <c r="AD98" i="12" s="1"/>
  <c r="AD99" i="12" s="1"/>
  <c r="AD24" i="12" s="1"/>
  <c r="AD54" i="12"/>
  <c r="AE21" i="12" l="1"/>
  <c r="AE30" i="12" s="1"/>
  <c r="AE20" i="12"/>
  <c r="AE29" i="12"/>
  <c r="AC95" i="13"/>
  <c r="AC48" i="12"/>
  <c r="AC50" i="12" s="1"/>
  <c r="AF56" i="10"/>
  <c r="AF57" i="10" s="1"/>
  <c r="AE64" i="10"/>
  <c r="AD41" i="12"/>
  <c r="AC56" i="12"/>
  <c r="AC57" i="12" s="1"/>
  <c r="AD25" i="12"/>
  <c r="AD28" i="12" l="1"/>
  <c r="AD31" i="12" s="1"/>
  <c r="AD37" i="12" s="1"/>
  <c r="AD38" i="12" s="1"/>
  <c r="AD42" i="12"/>
  <c r="AD44" i="12" s="1"/>
  <c r="AD92" i="13"/>
  <c r="AE96" i="12"/>
  <c r="AE97" i="12" s="1"/>
  <c r="AE98" i="12" s="1"/>
  <c r="AE99" i="12" s="1"/>
  <c r="AE24" i="12" s="1"/>
  <c r="AE49" i="12"/>
  <c r="AF58" i="10"/>
  <c r="AF63" i="10"/>
  <c r="AE67" i="12"/>
  <c r="AE69" i="12" s="1"/>
  <c r="AE71" i="12" s="1"/>
  <c r="AE72" i="12" s="1"/>
  <c r="AE98" i="13" s="1"/>
  <c r="AE23" i="12"/>
  <c r="AC58" i="12"/>
  <c r="AE54" i="12"/>
  <c r="AF29" i="12" l="1"/>
  <c r="AF21" i="12"/>
  <c r="AF30" i="12" s="1"/>
  <c r="AF20" i="12"/>
  <c r="AF65" i="10"/>
  <c r="AG56" i="10"/>
  <c r="AF64" i="10"/>
  <c r="AD56" i="12"/>
  <c r="AD57" i="12" s="1"/>
  <c r="AE41" i="12"/>
  <c r="AE25" i="12"/>
  <c r="AD48" i="12"/>
  <c r="AD50" i="12" s="1"/>
  <c r="AD95" i="13"/>
  <c r="AD58" i="12" l="1"/>
  <c r="AF67" i="12"/>
  <c r="AF69" i="12" s="1"/>
  <c r="AF71" i="12" s="1"/>
  <c r="AF72" i="12" s="1"/>
  <c r="AF23" i="12"/>
  <c r="AF49" i="12"/>
  <c r="AF96" i="12"/>
  <c r="AF97" i="12" s="1"/>
  <c r="AF98" i="12" s="1"/>
  <c r="AF99" i="12" s="1"/>
  <c r="AF24" i="12" s="1"/>
  <c r="AE92" i="13"/>
  <c r="AE28" i="12"/>
  <c r="AE31" i="12" s="1"/>
  <c r="AE37" i="12" s="1"/>
  <c r="AE38" i="12" s="1"/>
  <c r="AE42" i="12"/>
  <c r="AE44" i="12" s="1"/>
  <c r="AG57" i="10"/>
  <c r="AF54" i="12"/>
  <c r="I57" i="10" l="1"/>
  <c r="H51" i="10" s="1"/>
  <c r="H2" i="10" s="1"/>
  <c r="AG63" i="10"/>
  <c r="AE56" i="12"/>
  <c r="AE57" i="12" s="1"/>
  <c r="AF41" i="12"/>
  <c r="AE48" i="12"/>
  <c r="AE50" i="12" s="1"/>
  <c r="AE95" i="13"/>
  <c r="AF25" i="12"/>
  <c r="AG58" i="10"/>
  <c r="AG64" i="10" s="1"/>
  <c r="AF98" i="13"/>
  <c r="AE58" i="12" l="1"/>
  <c r="AG49" i="12"/>
  <c r="AG96" i="12"/>
  <c r="AG97" i="12" s="1"/>
  <c r="AG98" i="12" s="1"/>
  <c r="AG99" i="12" s="1"/>
  <c r="AG24" i="12" s="1"/>
  <c r="AF92" i="13"/>
  <c r="AF28" i="12"/>
  <c r="AF31" i="12" s="1"/>
  <c r="AF37" i="12" s="1"/>
  <c r="AF38" i="12" s="1"/>
  <c r="AF42" i="12"/>
  <c r="AF44" i="12" s="1"/>
  <c r="AG29" i="12"/>
  <c r="AG21" i="12"/>
  <c r="AG20" i="12"/>
  <c r="I63" i="10"/>
  <c r="AG65" i="10"/>
  <c r="AF48" i="12" l="1"/>
  <c r="AF50" i="12" s="1"/>
  <c r="AF95" i="13"/>
  <c r="AG67" i="12"/>
  <c r="AG69" i="12" s="1"/>
  <c r="AG23" i="12"/>
  <c r="AG30" i="12"/>
  <c r="AG54" i="12"/>
  <c r="AG84" i="12" s="1"/>
  <c r="AF56" i="12"/>
  <c r="AF57" i="12" s="1"/>
  <c r="AG41" i="12"/>
  <c r="AG25" i="12" l="1"/>
  <c r="AG42" i="12" s="1"/>
  <c r="AG44" i="12" s="1"/>
  <c r="AG56" i="12" s="1"/>
  <c r="AG57" i="12" s="1"/>
  <c r="I103" i="12"/>
  <c r="I105" i="12" s="1"/>
  <c r="AG71" i="12"/>
  <c r="G75" i="12"/>
  <c r="K7" i="1" s="1"/>
  <c r="AF58" i="12"/>
  <c r="AG92" i="13" l="1"/>
  <c r="AG28" i="12"/>
  <c r="AG31" i="12" s="1"/>
  <c r="AG37" i="12" s="1"/>
  <c r="AG38" i="12" s="1"/>
  <c r="AG95" i="13" s="1"/>
  <c r="G74" i="12"/>
  <c r="K5" i="1" s="1"/>
  <c r="G76" i="12"/>
  <c r="K6" i="1" s="1"/>
  <c r="AG72" i="12"/>
  <c r="AG48" i="12" l="1"/>
  <c r="AG50" i="12" s="1"/>
  <c r="AG58" i="12" s="1"/>
  <c r="H46" i="12" s="1" a="1"/>
  <c r="H46" i="12" s="1"/>
  <c r="H2" i="12" s="1"/>
  <c r="D32" i="1" s="1"/>
  <c r="AG98" i="13"/>
  <c r="G77" i="12"/>
  <c r="K9" i="1" s="1"/>
  <c r="G13" i="12" l="1"/>
  <c r="D3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<sst xmlns="http://schemas.openxmlformats.org/spreadsheetml/2006/main" count="1984" uniqueCount="863">
  <si>
    <t>GREET-GEO WASTE-HEAT UTILISATION MODEL</t>
  </si>
  <si>
    <t>Version:</t>
  </si>
  <si>
    <t>Draft 1</t>
  </si>
  <si>
    <t>Date:</t>
  </si>
  <si>
    <t>DISCLAIMER</t>
  </si>
  <si>
    <t>This model is provided for information and educational purposes only. It is a screening tool intended to help stakeholders explore the potential financial characteristics of waste-heat utilisation investments at an early, indicative stage. It does not constitute an offer, an invitation, or a recommendation by or on behalf of BwB, GreetGEO to make, or refrain from making, any investment.
The outputs of this model are indicative only and depend entirely on the assumptions and input values entered by the user. Results will only be as reliable as the data provided, and default or placeholder values should be replaced with project-specific figures before any conclusions are drawn.
This model has been prepared without regard to the needs of any one particular user, project, or investor. Nothing in it constitutes investment, legal, accounting, tax, engineering, or regulatory advice, or a representation that any project or strategy is suitable or appropriate in any particular circumstances.
Before relying on any output for a decision, users should independently assess the specific technical, financial, legal, regulatory, tax, and accounting aspects of their project/City with appropriately qualified professional advisers. Modelled returns and cost estimates are not a reliable indicator of actual outcomes, and actual costs, revenues, and savings may differ materially from those shown.
 Affiliated entities accept no liability for any loss or decision arising from the use of this model.
This model is released as a free, open-source tool with no copyright restrictions on its use. It may be distributed and adapted freely, provided it is used in a manner consistent with its intended purpose as a screening aid.</t>
  </si>
  <si>
    <t>README :  HOW TO USE THIS MODEL</t>
  </si>
  <si>
    <t>Purpose</t>
  </si>
  <si>
    <t>This is an interactive screening tool for evaluating waste-heat utilisation investments. By entering project-specific values, you can generate an indicative financial plan, income statement, balance sheet, and cash flow, together with headline returns (NPV, IRR, LCOH, WACC) and a sensitivity analysis (yet to be included). It is designed for non-expert stakeholders and requires no technical energy calculations: you provide total volumes, capacities, unit costs, and lump sums, and the model does the rest.</t>
  </si>
  <si>
    <t>A note on Hidden Sheets</t>
  </si>
  <si>
    <t>To protect the integrity of the model, its calculation sheets have been hidden so that they cannot be altered, leaving visible only the sheets you need to use: Cover, Disclaimer, README, Control Panel, Inputs, FS and Dashboard. The hidden sheets are Inputs_Dynamic, which holds the monthly seasonal profiles and intermediate heat-balance workings, Dates, which sets the period grid and phase flags, Timing, which builds the escalation indices, and the five engine sheets that do the underlying calculations: Construction (the CAPEX build-up), Operations (the energy, revenue and OPEX), Financing (the debt and DSCR), Depreciation (the book and tax depreciation) and Tax (the tax charge). These sheets carry out the model's background calculations and are hidden to prevent accidental changes that would compromise the results. You enter and adjust all assumptions through the Control Panel, and the results are presented on the Financial Statements and Dashboard sheets.</t>
  </si>
  <si>
    <t>How the model is organised</t>
  </si>
  <si>
    <t>Work through the sheets left to right. The Control Panel is where you drive the model, select your scenario, use case, currency, and which technology modules are active, and enter your assumptions. The Inputs and Inputs Dynamic sheets hold the detailed static and time-varying assumptions. The engine sheets (Construction, Operations, Financing, Depreciation, Tax) perform the calculations. The FS sheet presents the integrated financial statements. The Dashboard shows results graphically, and the Sensitivities sheet (yet to be added) shows how the returns respond to changes in the key drivers.</t>
  </si>
  <si>
    <t>Getting started: five steps</t>
  </si>
  <si>
    <t>1.   On the Control Panel, choose your use case from the three options: cascade geothermal, geothermal-power by-product, or communal wastewater.</t>
  </si>
  <si>
    <t>2.   Choose the scenario (Base, Downside, or Upside) and the reporting currency.</t>
  </si>
  <si>
    <t>3.   Switch the optional technology modules on or off (heat storage, solar PV, building-side heat exchanger) to match your project.</t>
  </si>
  <si>
    <t>4.   Enter your project’s values in the control panel. Replace the default placeholder values with your own figures.</t>
  </si>
  <si>
    <t>Built-in checks</t>
  </si>
  <si>
    <t>The model runs automatic integrity checks. On the Control Panel, the Model Integrity block confirms whether the balance sheet balances and whether all sheet-level checks pass. If any check flags an issue, review your inputs before relying on the results.</t>
  </si>
  <si>
    <t>Contact</t>
  </si>
  <si>
    <t>Incase of any comments or questions on this model, feel free to reach out to shedrack.mwiine@bwb.earth.</t>
  </si>
  <si>
    <t>TOGGLES</t>
  </si>
  <si>
    <t>MODEL OUPUTS</t>
  </si>
  <si>
    <t>Scenario and Case Selection</t>
  </si>
  <si>
    <t>Head line Returns</t>
  </si>
  <si>
    <t>Unit</t>
  </si>
  <si>
    <t>Value</t>
  </si>
  <si>
    <t>Control</t>
  </si>
  <si>
    <t>Setting</t>
  </si>
  <si>
    <t>idx</t>
  </si>
  <si>
    <t>NPV (post-grant, at WACC)</t>
  </si>
  <si>
    <t>Scenario (Current Case)</t>
  </si>
  <si>
    <t>menu</t>
  </si>
  <si>
    <t>Base</t>
  </si>
  <si>
    <t>IRR (post-grant)</t>
  </si>
  <si>
    <t>Use case</t>
  </si>
  <si>
    <t>Cascade geothermal</t>
  </si>
  <si>
    <t>IRR (pre-grant)</t>
  </si>
  <si>
    <t>Use case number</t>
  </si>
  <si>
    <t>1–3</t>
  </si>
  <si>
    <t>WACC (discount rate)</t>
  </si>
  <si>
    <t>Reporting currency</t>
  </si>
  <si>
    <t>Payback period</t>
  </si>
  <si>
    <t>Years</t>
  </si>
  <si>
    <t>Country</t>
  </si>
  <si>
    <t>Hungary</t>
  </si>
  <si>
    <t>LCOH (levelised cost of heat)</t>
  </si>
  <si>
    <t>Module Switches</t>
  </si>
  <si>
    <t>Financing &amp; Coverage</t>
  </si>
  <si>
    <t>Module</t>
  </si>
  <si>
    <t>On / Off</t>
  </si>
  <si>
    <t>Total CAPEX (nominal)</t>
  </si>
  <si>
    <t>Heat storage module</t>
  </si>
  <si>
    <t>Y/N</t>
  </si>
  <si>
    <t>No</t>
  </si>
  <si>
    <t>Grant funding</t>
  </si>
  <si>
    <t>Solar PV module</t>
  </si>
  <si>
    <t>Yes</t>
  </si>
  <si>
    <t>Senior debt</t>
  </si>
  <si>
    <t>Building-side heat exchanger</t>
  </si>
  <si>
    <t>Equity</t>
  </si>
  <si>
    <t>Minimum DSCR</t>
  </si>
  <si>
    <t>Average DSCR</t>
  </si>
  <si>
    <t>Model Status</t>
  </si>
  <si>
    <t>Energy &amp; Operations (Year 1 Operating)</t>
  </si>
  <si>
    <t>Check</t>
  </si>
  <si>
    <t>Status</t>
  </si>
  <si>
    <t>Dates sheet check</t>
  </si>
  <si>
    <t>flag</t>
  </si>
  <si>
    <t>Heat delivered by system</t>
  </si>
  <si>
    <t>MWh/yr</t>
  </si>
  <si>
    <t>Timing sheet check</t>
  </si>
  <si>
    <t>Backup boiler heat</t>
  </si>
  <si>
    <t>Monthly profiles</t>
  </si>
  <si>
    <t>Heat pump electricity</t>
  </si>
  <si>
    <t>Currency risk</t>
  </si>
  <si>
    <t>Avoided fuel cost</t>
  </si>
  <si>
    <t>Net operating benefit (yr1)</t>
  </si>
  <si>
    <t>Model Integrity</t>
  </si>
  <si>
    <t>Financial Summary (Year 1 operating)</t>
  </si>
  <si>
    <t>Balance sheet balances?</t>
  </si>
  <si>
    <t>All sheet checks pass?</t>
  </si>
  <si>
    <t>EBITDA</t>
  </si>
  <si>
    <t>Energy Intensity Sanity Check</t>
  </si>
  <si>
    <t>kWh/m²/yr</t>
  </si>
  <si>
    <t>Depreciation</t>
  </si>
  <si>
    <t>Net income</t>
  </si>
  <si>
    <t>Operating cash flow</t>
  </si>
  <si>
    <t xml:space="preserve">MAIN INPUTS </t>
  </si>
  <si>
    <t>Edit values here (Base / Downside / Upside)</t>
  </si>
  <si>
    <t>General Assumptions</t>
  </si>
  <si>
    <t>Input</t>
  </si>
  <si>
    <t>Downside</t>
  </si>
  <si>
    <t>Upside</t>
  </si>
  <si>
    <t>Active</t>
  </si>
  <si>
    <t>Gross floor area supplied</t>
  </si>
  <si>
    <t>m²</t>
  </si>
  <si>
    <t>The floor area served by the heating system. This supports a sanity check on energy intensity, expressed as kilowatt hours per square metre per year, which reveals whether the stated heat demand is plausible for a building of that size</t>
  </si>
  <si>
    <t>Timeline</t>
  </si>
  <si>
    <t>Model start year</t>
  </si>
  <si>
    <t>Year</t>
  </si>
  <si>
    <t>Illustrative placeholder. The model runs on annual periods. Year zero is the investment year, when capital is spent and funding is drawn. Construction years follow, and operations begin after that.</t>
  </si>
  <si>
    <t>Construction duration</t>
  </si>
  <si>
    <t>Illustrative placeholder. The number of years between the investment and the start of operations. It delays the point at which savings begin, which matters because a benefit received later is worth less in present value terms.</t>
  </si>
  <si>
    <t>Operating horizon</t>
  </si>
  <si>
    <t>Standard assumption for heat pump and heat exchanger systems. Individual components (compressors, pumps) will need replacement provisions within this, see Opex.</t>
  </si>
  <si>
    <t>Waste Heat Source</t>
  </si>
  <si>
    <t>Required supply temperature</t>
  </si>
  <si>
    <t>°C</t>
  </si>
  <si>
    <t>The temperature the buildings need. With the source temperature it fixes the lift, and it is the single most powerful lever in the model, because a lower supply temperature raises the coefficient of performance and cuts the electricity bill materially.</t>
  </si>
  <si>
    <t>Peak heating demand</t>
  </si>
  <si>
    <t>kW</t>
  </si>
  <si>
    <t>The maximum rate of heat the site needs on the coldest design day. This sizes the heat pump, since the equipment must be large enough to meet the share of peak demand it is expected to cover.</t>
  </si>
  <si>
    <t>Share of demand served</t>
  </si>
  <si>
    <t>%</t>
  </si>
  <si>
    <t>The proportion of heat demand the new system is designed to meet. It is rarely economic to size for the full peak, so an existing boiler is usually retained to cover the coldest hours, and this figure sets that split</t>
  </si>
  <si>
    <t>Heat Pump</t>
  </si>
  <si>
    <t>Carnot efficiency factor</t>
  </si>
  <si>
    <t>Real COP = factor × Carnot COP (The share of the theoretical maximum efficiency that a real heat pump achieves. Physics sets a ceiling on how efficiently heat may be moved across a temperature gap, and real machines reach only a fraction of it. This factor converts the theoretical ceiling into a realistic coefficient of performance, and it is the most important technical figure still to be confirmed)</t>
  </si>
  <si>
    <t>Number of heat pump units</t>
  </si>
  <si>
    <t>How many heat pump units the scheme uses. Several smaller machines may be preferred to one large one for reasons of redundancy or part load efficiency</t>
  </si>
  <si>
    <t>Heat pump specific cost</t>
  </si>
  <si>
    <t>The installed capital cost for each kilowatt of heat pump capacity, excluding earthworks and site infrastructure which are captured separately under balance of plant. Unit costs generally fall as machine size rises</t>
  </si>
  <si>
    <t>Heat Exchangers</t>
  </si>
  <si>
    <t>Number of exchanger units</t>
  </si>
  <si>
    <t>How many heat exchangers the scheme uses, which together with the specific cost gives the capital cost of this element.</t>
  </si>
  <si>
    <t>Building-side HX specific cost</t>
  </si>
  <si>
    <t>Set on the Control Panel only then does the cost line apply (Whether a second exchanger is required to separate the plant loop hydraulically from the building circuit. The associated cost applies only where this is switched on.)</t>
  </si>
  <si>
    <t>Heat Storage</t>
  </si>
  <si>
    <t>Storage specific cost</t>
  </si>
  <si>
    <t>The capital cost for each kilowatt hour of storage capacity</t>
  </si>
  <si>
    <t>Round-trip efficiency</t>
  </si>
  <si>
    <t>The share of the heat put into the store that is recovered when it is drawn out again. Some heat escapes through the insulation while it waits and some is lost in charging and discharging, so the recovered quantity is always less than the quantity deposited. This figure scales the entire benefit of storage.</t>
  </si>
  <si>
    <t>Standing loss</t>
  </si>
  <si>
    <t>%/day</t>
  </si>
  <si>
    <t>The rate at which stored heat leaks away each day while it sits in the store. It matters most where heat is held for long periods, such as bridging summer surplus into winter</t>
  </si>
  <si>
    <t>Cycles per year</t>
  </si>
  <si>
    <t>How many times the store is charged and discharged in a year. More frequent cycling means the same physical asset delivers more benefit.</t>
  </si>
  <si>
    <t>Solar Photovoltaics</t>
  </si>
  <si>
    <t>PV peak capacity</t>
  </si>
  <si>
    <t>kWe</t>
  </si>
  <si>
    <t>placeholder. The nameplate size of the solar array. Together with the yield it determines how much electricity is generated on site to offset the heat pump consumption</t>
  </si>
  <si>
    <t>PV specific cost</t>
  </si>
  <si>
    <t>The installed capital cost for each kilowatt of array capacity.</t>
  </si>
  <si>
    <t>PV specific yield</t>
  </si>
  <si>
    <t>kWh/kWp/yr</t>
  </si>
  <si>
    <t>How much electricity each kilowatt of array produces annually at this location. It depends on latitude, orientation and shading. Solar output peaks in summer while heat pump demand peaks in winter, so the offset should not be overstated.</t>
  </si>
  <si>
    <t>Balance of Plant</t>
  </si>
  <si>
    <t>Distance source to point of use</t>
  </si>
  <si>
    <t>m</t>
  </si>
  <si>
    <t>How far the waste heat must travel from where it is available to where it is needed. This drives the pipework and civil works cost, and beyond a certain distance a scheme ceases to be economic regardless of how good the heat source is.</t>
  </si>
  <si>
    <t>Cost of source water / access fee</t>
  </si>
  <si>
    <t>Any charge levied by the owner of the waste stream. This is often zero, but not always, since an operator may seek payment once a stream that was formerly a liability acquires value.</t>
  </si>
  <si>
    <t>Insulated pipe pair cost</t>
  </si>
  <si>
    <t>The cost of the flow and return pipework for each metre of distance, including insulation to limit heat loss in transit.</t>
  </si>
  <si>
    <t>Trenching and reinstatement</t>
  </si>
  <si>
    <t>The cost of excavating for the pipework and making good the surface afterwards. In built up areas this can exceed the cost of the pipe itself</t>
  </si>
  <si>
    <t>Effluent / reinjection / descaling</t>
  </si>
  <si>
    <t>Works specific to handling the cooled water after heat has been taken from it. This may include discharge structures, a reinjection well where the water must be returned underground, and equipment to manage the scaling that occurs as water cools. These requirements vary greatly between the three use cases.</t>
  </si>
  <si>
    <t>Electrical connection and controls</t>
  </si>
  <si>
    <t>The cost of connecting the plant electrically and of the control system that coordinates the source, the heat pump, any storage and the backup boiler.</t>
  </si>
  <si>
    <t>Efficiency-gain CAPEX</t>
  </si>
  <si>
    <t>The cost of the energy efficiency measures assumed to reduce demand before the system is sized. Reducing demand first allows smaller and cheaper plant, but the measures themselves cost money and that cost belongs in the appraisal.</t>
  </si>
  <si>
    <t>Development cost</t>
  </si>
  <si>
    <t>% CAPEX</t>
  </si>
  <si>
    <t>An allowance for permitting, design, engineering and project management, expressed as a proportion of the capital cost</t>
  </si>
  <si>
    <t>Contingency</t>
  </si>
  <si>
    <t>An allowance for the risk that costs exceed estimate. At an early stage of design a meaningful contingency is prudent, and omitting it flatters the appraisal.</t>
  </si>
  <si>
    <t>Avoided Cost and Revenue Streams</t>
  </si>
  <si>
    <t>Current heating equipment</t>
  </si>
  <si>
    <t>text</t>
  </si>
  <si>
    <t>Gas boiler</t>
  </si>
  <si>
    <t>What currently produces heat at the site, such as a gas boiler. This records what the scheme displaces and gives context for the baseline figures below.</t>
  </si>
  <si>
    <t>Annual useful heat demand</t>
  </si>
  <si>
    <t>The heat the buildings actually use in a year, measured as delivered heat rather than fuel purchased. This is the quantity the new system must meet and the foundation of the whole appraisal.</t>
  </si>
  <si>
    <t>Current boiler efficiency</t>
  </si>
  <si>
    <t>The proportion of fuel energy the existing boiler turns into useful heat. It converts the heat demand into the quantity of fuel actually bought, since a boiler at ninety per cent efficiency consumes more fuel than the heat it delivers.</t>
  </si>
  <si>
    <t>Current fuel unit cost</t>
  </si>
  <si>
    <t>Gas price (the avoided cost: it determines the value of every unit of fuel the scheme avoids buying.)</t>
  </si>
  <si>
    <t>Planned efficiency gains</t>
  </si>
  <si>
    <t>Any committed reduction in heat demand from efficiency measures, applied before the system is sized. Sizing plant against a demand that is about to fall would oversize the equipment and waste capital.</t>
  </si>
  <si>
    <t>Heat sales price</t>
  </si>
  <si>
    <t>The price at which heat is sold to a third party, where the scheme supplies others rather than only itself. It is zero for a scheme that only serves its own site</t>
  </si>
  <si>
    <t>Cooling sales price</t>
  </si>
  <si>
    <t>The price at which cooling is sold, where the scheme provides it. It is zero unless cooling is part of the scheme and is sold</t>
  </si>
  <si>
    <t>Balancing services revenue</t>
  </si>
  <si>
    <t>Any payment received for making the flexibility of the storage available to the electricity system. This is an additional value stream where such arrangements exist.</t>
  </si>
  <si>
    <t>OPEX</t>
  </si>
  <si>
    <t>Electricity price (heat pump)</t>
  </si>
  <si>
    <t>The tariff paid for the electricity the heat pump consumes. Since electricity is the largest running cost of the scheme, this price and the coefficient of performance together determine most of the operating expenditure.</t>
  </si>
  <si>
    <t>Annual pumping electricity</t>
  </si>
  <si>
    <t>Parasitic load (The electricity consumed by the pumps that move water around the system. This produces no heat itself but is required for the scheme to function, and it is a genuine continuous cost that would otherwise be overlooked.)</t>
  </si>
  <si>
    <t>Pumping electricity price</t>
  </si>
  <si>
    <t>The tariff paid for pumping electricity, usually the same as that paid by the heat pump.</t>
  </si>
  <si>
    <t>O&amp;M general</t>
  </si>
  <si>
    <t>% CAPEX/yr</t>
  </si>
  <si>
    <t>Routine maintenance of the plant, excluding electricity and exchanger cleaning which are captured separately.</t>
  </si>
  <si>
    <t>Compressor replacement provision</t>
  </si>
  <si>
    <t>An annual amount set aside toward replacing heat pump compressors, which rarely last the full life of the scheme. Ignoring this would understate the true cost of operating over twenty years.</t>
  </si>
  <si>
    <t>OPEX real escalation</t>
  </si>
  <si>
    <t>%/yr</t>
  </si>
  <si>
    <t>The rate at which operating costs rise above general inflation, reflecting the tendency of maintenance and labour costs to outpace the general price level.</t>
  </si>
  <si>
    <t>Taxation</t>
  </si>
  <si>
    <t>Corporate income tax rate</t>
  </si>
  <si>
    <t>The rate at which profits are taxed in the country of the project. Tax reduces the cash the scheme retains and must be reflected if the appraisal is to be realistic</t>
  </si>
  <si>
    <t>Depreciation rate (straight-line)</t>
  </si>
  <si>
    <t>The rate at which the capital assets are written down for accounting and tax purposes, on a straight line basis. Depreciation is not a cash cost but it reduces taxable profit and therefore the tax paid</t>
  </si>
  <si>
    <t>Tax loss carryforward allowed?</t>
  </si>
  <si>
    <t>Whether losses made in early years may be carried forward to offset tax in later profitable years. Where this is permitted the scheme pays less tax overall, and assuming otherwise would overstate the tax burden</t>
  </si>
  <si>
    <t>Debt and Financing</t>
  </si>
  <si>
    <t>Grant share of CAPEX</t>
  </si>
  <si>
    <t>The proportion of the capital cost met by grant funding, which is never repaid.</t>
  </si>
  <si>
    <t>Debt share of CAPEX (gearing)</t>
  </si>
  <si>
    <t>The proportion of the capital cost met by borrowing. Whatever is not met by grant or debt is met by the sponsor from equity</t>
  </si>
  <si>
    <t>Debt interest rate</t>
  </si>
  <si>
    <t>The annual rate of interest charged on the loan, which determines the cost of servicing the borrowing.</t>
  </si>
  <si>
    <t>Debt term</t>
  </si>
  <si>
    <t>The number of years over which the loan is repaid. A longer term lowers the annual payment but increases the total interest paid</t>
  </si>
  <si>
    <t>Debt disbursement cost</t>
  </si>
  <si>
    <t>% debt</t>
  </si>
  <si>
    <t>The up front fee charged by the lender when the loan is advanced.</t>
  </si>
  <si>
    <t>Amortisation type</t>
  </si>
  <si>
    <t>Equal debt service (annuity)</t>
  </si>
  <si>
    <t>How the loan is repaid, either by equal repayments of principal or by equal total payments across the term. The choice changes the shape of the annual cash outflow and therefore the cover ratio in the early years.</t>
  </si>
  <si>
    <t>Minimum DSCR (covenant)</t>
  </si>
  <si>
    <t>x</t>
  </si>
  <si>
    <t>The minimum ratio of cash available to debt service that the lender requires. It functions as a pass or fail test on whether the scheme can comfortably meet its obligations, and a ratio below the threshold signals that the borrowing is too large for the cash the scheme generates.</t>
  </si>
  <si>
    <t>Debt currency</t>
  </si>
  <si>
    <t>EUR</t>
  </si>
  <si>
    <t>The currency in which the loan is denominated, which may differ from the currency of the savings the scheme generates</t>
  </si>
  <si>
    <t>Economic Assumptions</t>
  </si>
  <si>
    <t>Inflation (general)</t>
  </si>
  <si>
    <t>The general rate at which prices rise over the life of the model, providing the background against which real escalation rates are expressed.</t>
  </si>
  <si>
    <t>Fuel price escalation (real)</t>
  </si>
  <si>
    <t>The rate at which fuel prices are assumed to rise above general inflation. Because the benefit of the scheme is the fuel it avoids buying, a faster rise in fuel prices increases the value of that avoided purchase over time.</t>
  </si>
  <si>
    <t>Electricity price escalation (real)</t>
  </si>
  <si>
    <t>The rate at which electricity prices are assumed to rise above general inflation. Electricity is the principal running cost, so this works against the scheme in the same way that fuel escalation works in its favour.</t>
  </si>
  <si>
    <t>Risk-free rate</t>
  </si>
  <si>
    <t>CAPM base rate</t>
  </si>
  <si>
    <t>Equity risk premium</t>
  </si>
  <si>
    <t>CAPM</t>
  </si>
  <si>
    <t>Unlevered (asset) beta</t>
  </si>
  <si>
    <t>Relevered below (A measure of how risky this type of asset is relative to the market as a whole, before any effect of borrowing. It is taken from comparable infrastructure and utility assets)</t>
  </si>
  <si>
    <t>Credit spread</t>
  </si>
  <si>
    <t>Over the risk-free rate (The margin a lender charges above the risk free rate, reflecting the lender's assessment of the risk of the borrower and the project)</t>
  </si>
  <si>
    <t>Annual COP degradation</t>
  </si>
  <si>
    <t>The annual rate at which the heat pump's efficiency declines as it ages. A small yearly percentage that gradually raises the electricity needed for the same heat output.</t>
  </si>
  <si>
    <t>Annual output degradation</t>
  </si>
  <si>
    <t>The annual rate at which the solar array's output declines with age. Reduces the electricity generated each year relative to nameplate.</t>
  </si>
  <si>
    <t>Adsorption Cooling</t>
  </si>
  <si>
    <t>Cooling module on?</t>
  </si>
  <si>
    <t>Whether the adsorption cooling module is active. Set to Yes only if the scheme provides cooling from the waste heat otherwise the cooling lines stay at zero.</t>
  </si>
  <si>
    <t>Peak cooling demand</t>
  </si>
  <si>
    <t>The maximum instantaneous cooling the site needs, in kilowatts. Sets the physical ceiling on how much cooling can be delivered at any moment and sizes the chiller.</t>
  </si>
  <si>
    <t>Annual cooling demand</t>
  </si>
  <si>
    <t>The total cooling the site uses across a year. The delivered cooling is capped by this, by the chiller capacity, and by the heat available to drive it.</t>
  </si>
  <si>
    <t>Adsorption chiller COP</t>
  </si>
  <si>
    <t>The efficiency of the adsorption chiller, expressed as cooling out per unit of heat in. A value below one is normal for thermally-driven cooling.</t>
  </si>
  <si>
    <t>Chiller specific cost</t>
  </si>
  <si>
    <t>cur/kW</t>
  </si>
  <si>
    <t>The installed capital cost for each kilowatt of chiller capacity. Applies only when the cooling module is switched on.</t>
  </si>
  <si>
    <t>Chiller capacity</t>
  </si>
  <si>
    <t>The nameplate size of the adsorption chiller in kilowatts. Together with the operating hours this sets the annual cooling the chiller can physically produce.</t>
  </si>
  <si>
    <t>Heat Allocation and Input Cost</t>
  </si>
  <si>
    <t>Cooling allocation (% of source)</t>
  </si>
  <si>
    <t>The share of the waste-heat source diverted to drive cooling rather than to supply heating. The remainder stays available for heat. Raising this trades heat output for cooling output.</t>
  </si>
  <si>
    <t>Third-party heat sales share</t>
  </si>
  <si>
    <t>The share of delivered heat sold to third parties rather than used to displace the site's own fuel. Sold heat earns the heat sales price, self-supplied heat earns the avoided fuel cost instead.</t>
  </si>
  <si>
    <t>Heat input / feedstock cost</t>
  </si>
  <si>
    <t>cur/MWh</t>
  </si>
  <si>
    <t>The cost of any feedstock or heat input the scheme must buy to run, per unit. Left at zero where the waste heat is genuinely free.</t>
  </si>
  <si>
    <t>Asset Useful Lives (Depreciation)</t>
  </si>
  <si>
    <t>Rotating &amp; mechanical life</t>
  </si>
  <si>
    <t>years</t>
  </si>
  <si>
    <t>The years over which rotating and mechanical equipment (heat pumps and chillers) is depreciated. Shorter lives write the cost off faster, raising early-year depreciation and lowering taxable profit.</t>
  </si>
  <si>
    <t>Thermal &amp; electrical plant life</t>
  </si>
  <si>
    <t>The years over which thermal and electrical plant (heat exchangers, storage and the electrical connection) is depreciated. This category groups assets that share a similar working life.</t>
  </si>
  <si>
    <t>Solar PV life</t>
  </si>
  <si>
    <t>The years over which the solar array is depreciated. Solar equipment is typically written down over a longer horizon than mechanical plant.</t>
  </si>
  <si>
    <t>Civil works &amp; pipework life</t>
  </si>
  <si>
    <t>The years over which civil works and pipework are depreciated. Buried and structural assets last longest, so this is the longest life in the model.</t>
  </si>
  <si>
    <t>Capitalised soft costs life</t>
  </si>
  <si>
    <t>The years over which capitalised soft costs (development, design and contingency) are depreciated. These follow the assets they helped bring into service.</t>
  </si>
  <si>
    <t>Heat Storage metrics</t>
  </si>
  <si>
    <t>Storage: efficiency gain (optimised load profile)</t>
  </si>
  <si>
    <t>Load-profile optimisation typically recovers low-single-digit % of throughput</t>
  </si>
  <si>
    <t>Storage: cost saving from lower-cost energy</t>
  </si>
  <si>
    <t>EUR/MWh</t>
  </si>
  <si>
    <t>Central arbitrage differential;</t>
  </si>
  <si>
    <t>Storage: total fuel savings value (override)</t>
  </si>
  <si>
    <t>EUR/yr</t>
  </si>
  <si>
    <t>Override,only used when a site knows its total directly; leave off so the differential path is what's tested</t>
  </si>
  <si>
    <t>Storage: duration at peak load</t>
  </si>
  <si>
    <t>Hours</t>
  </si>
  <si>
    <t>Working Capital &amp; Deferred Tax</t>
  </si>
  <si>
    <t>Days sales receivable</t>
  </si>
  <si>
    <t>days</t>
  </si>
  <si>
    <t>The average number of days between delivering heat or cooling and collecting payment. Longer terms tie up more cash in receivables, which the working-capital line captures.</t>
  </si>
  <si>
    <t>Days payable outstanding</t>
  </si>
  <si>
    <t>The average number of days the scheme takes to pay its own suppliers. Longer terms hold onto cash longer, partly offsetting the receivables above.</t>
  </si>
  <si>
    <t>Tax depreciation rate (declining balance)</t>
  </si>
  <si>
    <t>The rate at which assets are written down for tax purposes on a declining-balance basis. Where this differs from the accounting life it creates the deferred-tax timing difference.</t>
  </si>
  <si>
    <t>Include terminal value?</t>
  </si>
  <si>
    <t>Whether to credit the residual value of long-life assets still standing at the end of the model horizon. Including it recognises value the assets retain beyond the analysis window.</t>
  </si>
  <si>
    <t>Chart Data</t>
  </si>
  <si>
    <t>Lift</t>
  </si>
  <si>
    <t>GREETGEO                                           WASTE-HEAT UTILISATION MODEL</t>
  </si>
  <si>
    <t>Scenario and Case</t>
  </si>
  <si>
    <t>Currency</t>
  </si>
  <si>
    <t>Current Case</t>
  </si>
  <si>
    <t>Scenario:</t>
  </si>
  <si>
    <t>base</t>
  </si>
  <si>
    <t>downside</t>
  </si>
  <si>
    <t>upside</t>
  </si>
  <si>
    <t>Sens?</t>
  </si>
  <si>
    <t>Notes</t>
  </si>
  <si>
    <t>Source ID</t>
  </si>
  <si>
    <t>Provided by</t>
  </si>
  <si>
    <t>Active use case</t>
  </si>
  <si>
    <t>N/A</t>
  </si>
  <si>
    <t>Client</t>
  </si>
  <si>
    <t>Active use case number</t>
  </si>
  <si>
    <t>Derived</t>
  </si>
  <si>
    <t>Country of project</t>
  </si>
  <si>
    <t>N</t>
  </si>
  <si>
    <t>Worked example. The tool is multi country by design. Country drives tax, tariffs and any support schemes, so it is a per-project input.</t>
  </si>
  <si>
    <t>BwB-EST</t>
  </si>
  <si>
    <t>BwB</t>
  </si>
  <si>
    <t>Concept: modules</t>
  </si>
  <si>
    <t>Heat Storage module</t>
  </si>
  <si>
    <t>A switch that turns the heat storage block on or off. Storage is optional, and where it is not part of the scheme its capital and operating costs should not enter the calculation.</t>
  </si>
  <si>
    <t>Solar PV module on?</t>
  </si>
  <si>
    <t>A switch that turns the solar photovoltaic block on or off. Solar generation is an optional addition that offsets some of the electricity the heat pump consumes</t>
  </si>
  <si>
    <t>Category</t>
  </si>
  <si>
    <t>Detailed Notes</t>
  </si>
  <si>
    <t>Source temperature</t>
  </si>
  <si>
    <t>Worked example for spa wastewater. What we need from Pal is the typical temperature range per use case: cascade geothermal, power plant discharge and communal wastewater sit at very different points, and this single number drives everything downstream.How hot the waste water is when it reaches the plant. This is one of the two temperatures that set the lift the heat pump must overcome, and a warmer source means a shorter lift, a better coefficient of performance and a smaller electricity bill.</t>
  </si>
  <si>
    <t>Parameters</t>
  </si>
  <si>
    <t>TBC-Pál/Sewergy</t>
  </si>
  <si>
    <t>Available flow</t>
  </si>
  <si>
    <t>m³/h</t>
  </si>
  <si>
    <t>Worked example. In live use a site measurement or a reading from the operator, per use case Pal can indicate what is typical. Essentially the volume of waste water passing through each hour. Together with the temperature drop, it determines the thermal power available. A larger flow means more heat can be recovered.</t>
  </si>
  <si>
    <t>Client (per project)</t>
  </si>
  <si>
    <t>Minimum discharge temperature</t>
  </si>
  <si>
    <t>Needed per use case, the band shown is a placeholder.Essentially caps the usable temperature drop, ie. the coldest the water may be before it is discharged or returned. This is set by permit conditions, by the risk of scaling, or by the requirements of the receiving system. It caps how far the water may be cooled and therefore how much heat may be taken from it.</t>
  </si>
  <si>
    <t>Source availability</t>
  </si>
  <si>
    <t>The share of the year during which the source actually flows. Few sources run every hour and this fraction converts the instantaneous thermal power into a realistic annual quantity of heat</t>
  </si>
  <si>
    <t>TBC-Pál/sewergy</t>
  </si>
  <si>
    <t>Exchanger specific cost</t>
  </si>
  <si>
    <t>The capital cost of the heat exchanger for each kilowatt of heat it transfers. The figure rises with the dirtiness and corrosiveness of the stream, because fouling resistant designs and corrosion resistant materials cost more.</t>
  </si>
  <si>
    <t>Heat exchanger approach loss</t>
  </si>
  <si>
    <t>The temperature the clean loop falls short of the source water. Heat only crosses the exchanger wall when a temperature difference exists, so the clean side can never quite reach the source temperature. Those lost degrees enlarge the lift the heat pump must overcome and so raise the running cost.</t>
  </si>
  <si>
    <t>Y</t>
  </si>
  <si>
    <t>Available thermal power</t>
  </si>
  <si>
    <t>flow × 1.163 × usable ΔT (Calculated by the model as the flow multiplied by the heat capacity of water and by the usable temperature drop. It expresses how much heat the source can deliver at any moment.)</t>
  </si>
  <si>
    <t>Annual heat extractable</t>
  </si>
  <si>
    <t>power × 8,760 × availability ÷ 1,000 (Calculated by the model as the thermal power multiplied by the hours in a year and by the availability fraction. Comparing this against the site demand shows immediately whether the source or the equipment is the limiting constraint)</t>
  </si>
  <si>
    <t>Desk research dummy figures. Rationale: Industrial HTHPs achieve 40–60% of Carnot; 0.5 is the standard first-assessment value</t>
  </si>
  <si>
    <t>Link</t>
  </si>
  <si>
    <t>Desk research dummy figures. Rationale: Water-to-water HP for moderate lift; bare equipment 100–300 €/kW, uplifted for install (earthworks separate)</t>
  </si>
  <si>
    <t>Implied heating COP</t>
  </si>
  <si>
    <t>Calculated by the model from the source and supply temperatures and the Carnot efficiency factor. It expresses how many units of heat the pump delivers for each unit of electricity it consumes, and it drives the largest single operating cost in the model</t>
  </si>
  <si>
    <t>Heat pump thermal capacity</t>
  </si>
  <si>
    <t>peak demand × share served (Calculated by the model as the peak demand multiplied by the share of demand served. This is the size of machine the scheme requires, and it drives the heat pump element of capital cost.)</t>
  </si>
  <si>
    <t>Building-side heat exchanger needed?</t>
  </si>
  <si>
    <t>If hydraulic separation needed (The capital cost per kilowatt of the exchanger between the plant and the building circuit, used only where such separation is required)</t>
  </si>
  <si>
    <t xml:space="preserve"> Desk research dummy figures. Rationale: Gasketed water-to-water plate HX, industrial</t>
  </si>
  <si>
    <t>Storage energy capacity</t>
  </si>
  <si>
    <t>kWh_th</t>
  </si>
  <si>
    <t>How much heat the store can hold. This governs how much surplus may be captured for later use and drives the capital cost of the store.</t>
  </si>
  <si>
    <t>Storage peak capacity</t>
  </si>
  <si>
    <t>The maximum rate at which the store can be charged or discharged. A store may hold a great deal of heat yet still be unable to deliver it quickly enough to cover a sharp peak.</t>
  </si>
  <si>
    <t>Heatventors</t>
  </si>
  <si>
    <t>Desk Research dummy figures. Rationale: Direct thermal (not power-cycle) storage: 70–100%</t>
  </si>
  <si>
    <t>The nameplate size of the solar array. Together with the yield it determines how much electricity is generated on site to offset the heat pump consumption</t>
  </si>
  <si>
    <t>Biharkeresztes FS</t>
  </si>
  <si>
    <t>Pipework and civils</t>
  </si>
  <si>
    <t>distance × (pipe + trenching) (Calculated by the model as the distance multiplied by the combined pipe and trenching cost per metre.)</t>
  </si>
  <si>
    <t>Desk research dummy data. Rationale: Order-of-magnitude for reinjection/discharge works</t>
  </si>
  <si>
    <t>TBC</t>
  </si>
  <si>
    <t>Design annual heat demand</t>
  </si>
  <si>
    <t>Calculated by the model as the current demand less the planned efficiency gains. This is the demand the system is actually sized against.</t>
  </si>
  <si>
    <t>Annual fuel input</t>
  </si>
  <si>
    <t>—</t>
  </si>
  <si>
    <t>demand ÷ boiler efficiency (giving the quantity of fuel currently purchased)</t>
  </si>
  <si>
    <t>Annual baseline fuel cost</t>
  </si>
  <si>
    <t>Calculated by the model as the fuel input multiplied by the unit cost. This is the bill the project sets out to avoid and the principal benefit against which its costs are weighed.</t>
  </si>
  <si>
    <t>Concept: offtake</t>
  </si>
  <si>
    <t>Electricity input per MWh (derived, =1/COP)</t>
  </si>
  <si>
    <t>MWh_e</t>
  </si>
  <si>
    <t>1 ÷ COP ( It translates the efficiency of the machine into the quantity of electricity that must be bought for each unit of heat delivered.)</t>
  </si>
  <si>
    <t>Concept: pumping module</t>
  </si>
  <si>
    <t>Cleaning and fouling O&amp;M</t>
  </si>
  <si>
    <t>The cost of keeping the heat exchangers clean, expressed as a proportion of capital cost. Dirty streams coat the exchanger surfaces and reduce heat transfer, so regular cleaning is essential. This is the characteristic operating cost of waste heat recovery and is highest for communal wastewater</t>
  </si>
  <si>
    <t>TBC-Pál</t>
  </si>
  <si>
    <t>Desk Research dummy variables. Rationale: Industrial compressor life 10–15 yrs; annual sinking fund</t>
  </si>
  <si>
    <t>Concept: income statement</t>
  </si>
  <si>
    <t>Brief: I3 / alt. financing</t>
  </si>
  <si>
    <t>Concept: financing</t>
  </si>
  <si>
    <t>Currency risk (revenue vs debt service)</t>
  </si>
  <si>
    <t>Pál 22 July: flag whether revenue and debt service share a currency</t>
  </si>
  <si>
    <t>WACC</t>
  </si>
  <si>
    <t>Government bond yield</t>
  </si>
  <si>
    <t>Market ERP</t>
  </si>
  <si>
    <t>Infrastructure sector proxy</t>
  </si>
  <si>
    <t>Bank quote</t>
  </si>
  <si>
    <t>Relevered beta</t>
  </si>
  <si>
    <t>βu × (1 + (1 − t) × D/E) (adjusting the asset beta for the level of borrowing in the scheme. Borrowing amplifies the risk borne by equity, so a more highly geared scheme carries a higher beta.)</t>
  </si>
  <si>
    <t>Cost of equity</t>
  </si>
  <si>
    <t>rf + βL × ERP (the return the sponsor requires on the money they put in.)</t>
  </si>
  <si>
    <t>After-tax cost of debt</t>
  </si>
  <si>
    <t>(rf + spread) × (1 − t) ( (as the risk free rate plus the credit spread, reduced for the tax relief available on interest. Because interest is deductible, the effective cost of borrowing is lower than the headline rate.))</t>
  </si>
  <si>
    <t>E/V × Ke + D/V × Kd (represents the overall return the scheme must earn to satisfy those who funded it.)</t>
  </si>
  <si>
    <t>Discount rate for NPV</t>
  </si>
  <si>
    <t>equals WACC (Set equal to the weighted average cost of capital. It converts future savings into present value, and it is the rate against which the scheme is judged to create or destroy value.)</t>
  </si>
  <si>
    <t>Degradation &amp; Performance</t>
  </si>
  <si>
    <t>site cooling load</t>
  </si>
  <si>
    <t>site cooling energy</t>
  </si>
  <si>
    <t>silica gel 0.5-0.6; range 0.25-0.65</t>
  </si>
  <si>
    <t>~$600/kW-th: adsorption higher end</t>
  </si>
  <si>
    <t>sized to peak cooling</t>
  </si>
  <si>
    <t>user split: source heat to cooling vs heating</t>
  </si>
  <si>
    <t>user split: delivered heat sold vs self-supplied</t>
  </si>
  <si>
    <t>cost to acquire waste heat (0 if free); weighted avg</t>
  </si>
  <si>
    <t>Heat pump life</t>
  </si>
  <si>
    <t>Source HX life</t>
  </si>
  <si>
    <t>Pipework &amp; civils life</t>
  </si>
  <si>
    <t>Soft costs life</t>
  </si>
  <si>
    <t>avg days/month</t>
  </si>
  <si>
    <t>hours</t>
  </si>
  <si>
    <t>Menu Lists</t>
  </si>
  <si>
    <t>Use case (full label)</t>
  </si>
  <si>
    <t>Use case (short)</t>
  </si>
  <si>
    <t>Yes / No</t>
  </si>
  <si>
    <t>Scenario</t>
  </si>
  <si>
    <t>1 · Cascade geothermal (spa / greenhouse / building / DH)</t>
  </si>
  <si>
    <t>Equal principal</t>
  </si>
  <si>
    <t>2 · Geothermal power by-product water</t>
  </si>
  <si>
    <t>Geothermal power by-product</t>
  </si>
  <si>
    <t>PLN</t>
  </si>
  <si>
    <t>3 · Communal wastewater (spa or municipal)</t>
  </si>
  <si>
    <t>Communal wastewater</t>
  </si>
  <si>
    <t>HUF</t>
  </si>
  <si>
    <t>Other</t>
  </si>
  <si>
    <t>RON</t>
  </si>
  <si>
    <t>SEK</t>
  </si>
  <si>
    <t>DKK</t>
  </si>
  <si>
    <t>CZK</t>
  </si>
  <si>
    <t>Use-Case Source Defaults</t>
  </si>
  <si>
    <t>Parameter</t>
  </si>
  <si>
    <t>1 · Cascade</t>
  </si>
  <si>
    <t>2 · Geo-power</t>
  </si>
  <si>
    <t>3 · Communal</t>
  </si>
  <si>
    <t>Source</t>
  </si>
  <si>
    <t>Link for 1</t>
  </si>
  <si>
    <t>Link for 2</t>
  </si>
  <si>
    <t>Link for 3</t>
  </si>
  <si>
    <t>Typical source temperature</t>
  </si>
  <si>
    <t>BwB worked example pending Pál</t>
  </si>
  <si>
    <t>Link 1</t>
  </si>
  <si>
    <t>Typical available flow</t>
  </si>
  <si>
    <t>€/kW_th</t>
  </si>
  <si>
    <t>Link 2</t>
  </si>
  <si>
    <t>Link 3</t>
  </si>
  <si>
    <t>Intermediate loop needed?</t>
  </si>
  <si>
    <t>BwB (communal is dirtiest)</t>
  </si>
  <si>
    <t>BwB (highest for communal)</t>
  </si>
  <si>
    <t>Reinjection well typical?</t>
  </si>
  <si>
    <t xml:space="preserve">BwB </t>
  </si>
  <si>
    <t>Descaling equipment typical?</t>
  </si>
  <si>
    <t>Pál (scaling streams)</t>
  </si>
  <si>
    <t>Monthly availability shape</t>
  </si>
  <si>
    <t>ref</t>
  </si>
  <si>
    <t>Winter-peak</t>
  </si>
  <si>
    <t>Flat</t>
  </si>
  <si>
    <t>Intermediate loop illustration</t>
  </si>
  <si>
    <t>Countries and Currencies</t>
  </si>
  <si>
    <t>Austria</t>
  </si>
  <si>
    <t>Belgium</t>
  </si>
  <si>
    <t>Croatia</t>
  </si>
  <si>
    <t>Cyprus</t>
  </si>
  <si>
    <t>Estonia</t>
  </si>
  <si>
    <t>Finland</t>
  </si>
  <si>
    <t>France</t>
  </si>
  <si>
    <t>Germany</t>
  </si>
  <si>
    <t>Greece</t>
  </si>
  <si>
    <t>Ireland</t>
  </si>
  <si>
    <t>Italy</t>
  </si>
  <si>
    <t>Latvia</t>
  </si>
  <si>
    <t>Lithuania</t>
  </si>
  <si>
    <t>Luxembourg</t>
  </si>
  <si>
    <t>Malta</t>
  </si>
  <si>
    <t>Netherlands</t>
  </si>
  <si>
    <t>Portugal</t>
  </si>
  <si>
    <t>Slovakia</t>
  </si>
  <si>
    <t>Slovenia</t>
  </si>
  <si>
    <t>Spain</t>
  </si>
  <si>
    <t>Poland</t>
  </si>
  <si>
    <t>Romania</t>
  </si>
  <si>
    <t>Sweden</t>
  </si>
  <si>
    <t>Denmark</t>
  </si>
  <si>
    <t>Czechia</t>
  </si>
  <si>
    <t>Monthly Profiles</t>
  </si>
  <si>
    <t>Jan</t>
  </si>
  <si>
    <t>Feb</t>
  </si>
  <si>
    <t>Mar</t>
  </si>
  <si>
    <t>Apr</t>
  </si>
  <si>
    <t>May</t>
  </si>
  <si>
    <t>Jun</t>
  </si>
  <si>
    <t>Jul</t>
  </si>
  <si>
    <t>Aug</t>
  </si>
  <si>
    <t>Sep</t>
  </si>
  <si>
    <t>Oct</t>
  </si>
  <si>
    <t>Nov</t>
  </si>
  <si>
    <t>Dec</t>
  </si>
  <si>
    <t>Total</t>
  </si>
  <si>
    <t>Heating demand share</t>
  </si>
  <si>
    <t>Source availability share</t>
  </si>
  <si>
    <t>Cooling demand share</t>
  </si>
  <si>
    <t>Derived Monthly Quantities</t>
  </si>
  <si>
    <t>Heat demand (after efficiency gains)</t>
  </si>
  <si>
    <t>MWh</t>
  </si>
  <si>
    <t>Source heat available</t>
  </si>
  <si>
    <t>Surplus / (deficit)</t>
  </si>
  <si>
    <t>Weighted-Average Heat Input Cost</t>
  </si>
  <si>
    <t>Fuel source</t>
  </si>
  <si>
    <t>Cost (€/MWh)</t>
  </si>
  <si>
    <t>Weight</t>
  </si>
  <si>
    <t>Natural gas</t>
  </si>
  <si>
    <t>Alternative source 2</t>
  </si>
  <si>
    <t>Alternative source 3</t>
  </si>
  <si>
    <t>Weighted-average fuel cost</t>
  </si>
  <si>
    <t>€/MWh</t>
  </si>
  <si>
    <t>Weighted-Average Heat Sales Value</t>
  </si>
  <si>
    <t>Sales stream</t>
  </si>
  <si>
    <t>Price (€/MWh)</t>
  </si>
  <si>
    <t>Self-supply (avoided cost)</t>
  </si>
  <si>
    <t>Third-party heat</t>
  </si>
  <si>
    <t>Cooling</t>
  </si>
  <si>
    <t>Weighted-average sales value</t>
  </si>
  <si>
    <t>(as a reference/diagnostic figure: what would the blended realized price look like if collapsed to one rate)</t>
  </si>
  <si>
    <t>monthly PV-vs-demand match</t>
  </si>
  <si>
    <t>PV generation (monthly)</t>
  </si>
  <si>
    <t>HP electricity (monthly)</t>
  </si>
  <si>
    <t>PV offset (monthly-matched)</t>
  </si>
  <si>
    <t>Sheet Check</t>
  </si>
  <si>
    <t>BoP</t>
  </si>
  <si>
    <t>EoP</t>
  </si>
  <si>
    <t>Days on Period</t>
  </si>
  <si>
    <t>Days on Year</t>
  </si>
  <si>
    <t>Month No</t>
  </si>
  <si>
    <t>Period Index</t>
  </si>
  <si>
    <t>Data</t>
  </si>
  <si>
    <t>Item</t>
  </si>
  <si>
    <t>Pre-period</t>
  </si>
  <si>
    <t>Construction period</t>
  </si>
  <si>
    <t>Operating period</t>
  </si>
  <si>
    <t>Escalation drivers</t>
  </si>
  <si>
    <t>Fuel escalation (real)</t>
  </si>
  <si>
    <t>Electricity escalation (real)</t>
  </si>
  <si>
    <t>OPEX Real Escalation</t>
  </si>
  <si>
    <t>Escalation Indices by Year</t>
  </si>
  <si>
    <t>Inflation index</t>
  </si>
  <si>
    <t>Fuel price index</t>
  </si>
  <si>
    <t>Electricity price index</t>
  </si>
  <si>
    <t>OPEX real escalation index</t>
  </si>
  <si>
    <t>Selected case:</t>
  </si>
  <si>
    <t>Period beginning (BoP)</t>
  </si>
  <si>
    <t>Period end (EoP)</t>
  </si>
  <si>
    <t>Period index</t>
  </si>
  <si>
    <t>Flags</t>
  </si>
  <si>
    <t>Construction</t>
  </si>
  <si>
    <t>Flag</t>
  </si>
  <si>
    <t>Construction years (count)</t>
  </si>
  <si>
    <t>Core Production Equipment</t>
  </si>
  <si>
    <t>Heat pump</t>
  </si>
  <si>
    <t>Source-side heat exchanger</t>
  </si>
  <si>
    <t>Heat storage</t>
  </si>
  <si>
    <t>Solar PV</t>
  </si>
  <si>
    <t>Adsorption chiller</t>
  </si>
  <si>
    <t>Total core production equipment</t>
  </si>
  <si>
    <t>Distance (source to use)</t>
  </si>
  <si>
    <t>cur/m</t>
  </si>
  <si>
    <t>Trenching &amp; reinstatement</t>
  </si>
  <si>
    <t>Pipework and civils (built up)</t>
  </si>
  <si>
    <t>Efficiency-gain works</t>
  </si>
  <si>
    <t>Source water / access fee</t>
  </si>
  <si>
    <t>Total balance of plant</t>
  </si>
  <si>
    <t>Soft Costs</t>
  </si>
  <si>
    <t>Base for percentages (core + BoP)</t>
  </si>
  <si>
    <t>Development cost rate</t>
  </si>
  <si>
    <t>Contingency rate</t>
  </si>
  <si>
    <t>Total soft costs</t>
  </si>
  <si>
    <t>Summary and Ratios</t>
  </si>
  <si>
    <t>Core production equipment</t>
  </si>
  <si>
    <t>Balance of plant</t>
  </si>
  <si>
    <t>Soft costs</t>
  </si>
  <si>
    <t>TOTAL CAPEX</t>
  </si>
  <si>
    <t>Balance-of-plant to core-equipment ratio</t>
  </si>
  <si>
    <t>Balance-of-plant share of total</t>
  </si>
  <si>
    <t>Total Uses (Capital Spend Over Time)</t>
  </si>
  <si>
    <t>CAPEX allocation (% per year)</t>
  </si>
  <si>
    <t>Normalised weight</t>
  </si>
  <si>
    <t>weight</t>
  </si>
  <si>
    <t>Capital spend (real)</t>
  </si>
  <si>
    <t>Capital spend (nominal)</t>
  </si>
  <si>
    <t>Itemised Construction Phasing (% per period)</t>
  </si>
  <si>
    <t>Rotating &amp; mechanical</t>
  </si>
  <si>
    <t>Thermal &amp; electrical</t>
  </si>
  <si>
    <t>Civil works &amp; pipework</t>
  </si>
  <si>
    <t>Check: each profile sums to 100%</t>
  </si>
  <si>
    <t>Itemised Capital Spend (nominal)</t>
  </si>
  <si>
    <t>Total itemised spend (nominal)</t>
  </si>
  <si>
    <t>Check: itemised total valid</t>
  </si>
  <si>
    <t>Sheet check</t>
  </si>
  <si>
    <t>Units</t>
  </si>
  <si>
    <t>Inputs</t>
  </si>
  <si>
    <t>Summary</t>
  </si>
  <si>
    <t>Yrs</t>
  </si>
  <si>
    <t>Energy Delivered</t>
  </si>
  <si>
    <t>Operating years elapsed</t>
  </si>
  <si>
    <t>Annual heat extractable (after availability)</t>
  </si>
  <si>
    <t>Source availability (applied in extractable above)</t>
  </si>
  <si>
    <t>Source heat available (annual)</t>
  </si>
  <si>
    <t>Useful heat demand</t>
  </si>
  <si>
    <t>Output degradation factor</t>
  </si>
  <si>
    <t>System heat before source cap</t>
  </si>
  <si>
    <t>Heat delivered by backup boiler</t>
  </si>
  <si>
    <t>Waste heat recovered from source</t>
  </si>
  <si>
    <t>Storage value benefit</t>
  </si>
  <si>
    <t>Electricity</t>
  </si>
  <si>
    <t>Base heating COP</t>
  </si>
  <si>
    <t>PV annual generation</t>
  </si>
  <si>
    <t>COP degradation factor</t>
  </si>
  <si>
    <t>Degraded COP</t>
  </si>
  <si>
    <t>Pumping degradation factor</t>
  </si>
  <si>
    <t>Pumping electricity</t>
  </si>
  <si>
    <t>PV generation (offset)</t>
  </si>
  <si>
    <t>Net electricity purchased</t>
  </si>
  <si>
    <t>Fuel and Avoided-Cost Basis</t>
  </si>
  <si>
    <t>Baseline fuel (counterfactual)</t>
  </si>
  <si>
    <t>Residual boiler fuel (project)</t>
  </si>
  <si>
    <t>Avoided fuel (quantity)</t>
  </si>
  <si>
    <t>Revenue (Sales)</t>
  </si>
  <si>
    <t>Third-party heat share</t>
  </si>
  <si>
    <t>Heat sales price (real)</t>
  </si>
  <si>
    <t>Cooling sales price (real)</t>
  </si>
  <si>
    <t>cur/yr</t>
  </si>
  <si>
    <t>Heat sold to third parties</t>
  </si>
  <si>
    <t>Heat sales revenue</t>
  </si>
  <si>
    <t>Cooling sales revenue</t>
  </si>
  <si>
    <t>Total revenue</t>
  </si>
  <si>
    <t>Avoided Cost (Self-Supply)</t>
  </si>
  <si>
    <t>Self-supplied avoided fuel</t>
  </si>
  <si>
    <t>Avoided fuel cost (benefit)</t>
  </si>
  <si>
    <t>Operating Costs (OPEX)</t>
  </si>
  <si>
    <t>Electricity price (real)</t>
  </si>
  <si>
    <t>Pumping electricity price (real)</t>
  </si>
  <si>
    <t>Cleaning &amp; fouling O&amp;M</t>
  </si>
  <si>
    <t>Heat pump electricity cost</t>
  </si>
  <si>
    <t>Pumping electricity cost</t>
  </si>
  <si>
    <t>Cleaning &amp; O&amp;M cost</t>
  </si>
  <si>
    <t>Compressor provision</t>
  </si>
  <si>
    <t>Total operating cost</t>
  </si>
  <si>
    <t>Net Operating Benefit</t>
  </si>
  <si>
    <t>Revenue</t>
  </si>
  <si>
    <t>Avoided cost (self-supply)</t>
  </si>
  <si>
    <t>Less: operating costs</t>
  </si>
  <si>
    <t>Net operating benefit</t>
  </si>
  <si>
    <t>Operating Metrics</t>
  </si>
  <si>
    <t>Capacity utilisation</t>
  </si>
  <si>
    <t>Heat-sold to electricity ratio</t>
  </si>
  <si>
    <t>Heat Storage. Monthly Simulation (representative year)</t>
  </si>
  <si>
    <t>Month</t>
  </si>
  <si>
    <t>Peak charge/discharge (monthly)</t>
  </si>
  <si>
    <t>MWh/mo</t>
  </si>
  <si>
    <t>%/mo</t>
  </si>
  <si>
    <t>( standing loss is time dependent whereas round trip efficiency is fundamentally cycle dependent)</t>
  </si>
  <si>
    <t>Monthly surplus / (deficit)</t>
  </si>
  <si>
    <t>Opening balance</t>
  </si>
  <si>
    <t>Balance after loss</t>
  </si>
  <si>
    <t>Charge</t>
  </si>
  <si>
    <t>Discharge (gross)</t>
  </si>
  <si>
    <t>Useful discharge (after RTE)</t>
  </si>
  <si>
    <t>Closing balance</t>
  </si>
  <si>
    <t>Storage value benefit (annual)</t>
  </si>
  <si>
    <t>Annual useful discharge (capped by cycles/year)</t>
  </si>
  <si>
    <t>Throughput feasibility (surplus available?)</t>
  </si>
  <si>
    <t>Adsorption Cooling Production</t>
  </si>
  <si>
    <t>Chiller capacity (annual)</t>
  </si>
  <si>
    <t>Cooling delivered</t>
  </si>
  <si>
    <t>Heat consumed by chiller</t>
  </si>
  <si>
    <t>Peak cooling demand (kW)</t>
  </si>
  <si>
    <t>Sheet check (sources = uses)</t>
  </si>
  <si>
    <t>Sources of Funds</t>
  </si>
  <si>
    <t>Equity Share</t>
  </si>
  <si>
    <t>Total capital cost (nominal)</t>
  </si>
  <si>
    <t>Grant share</t>
  </si>
  <si>
    <t>Debt share (gearing)</t>
  </si>
  <si>
    <t>Check: sources = uses</t>
  </si>
  <si>
    <t>Debt disbursement fee</t>
  </si>
  <si>
    <t>Debt Drawdown</t>
  </si>
  <si>
    <t>Construction spend (nominal)</t>
  </si>
  <si>
    <t>Debt draw</t>
  </si>
  <si>
    <t>Repayment Flag and Term</t>
  </si>
  <si>
    <t>Interest rate</t>
  </si>
  <si>
    <t>Repayment flag</t>
  </si>
  <si>
    <t>1,0</t>
  </si>
  <si>
    <t>Operating year count (cumulative)</t>
  </si>
  <si>
    <t>Debt Schedule</t>
  </si>
  <si>
    <t>Add: debt draw</t>
  </si>
  <si>
    <t>Less: repayment</t>
  </si>
  <si>
    <t>Check: debt repaid at term end</t>
  </si>
  <si>
    <t>Interest</t>
  </si>
  <si>
    <t>Average debt balance</t>
  </si>
  <si>
    <t>Interest incurred</t>
  </si>
  <si>
    <t>Interest paid from equity (construction)</t>
  </si>
  <si>
    <t>Interest paid from operations</t>
  </si>
  <si>
    <t>Debt disbursement fee (funded by equity)</t>
  </si>
  <si>
    <t>Repayment</t>
  </si>
  <si>
    <t>Debt repayment</t>
  </si>
  <si>
    <t>Constant annuity (PMT)</t>
  </si>
  <si>
    <t>Debt Service Cover Ratio (DSCR)</t>
  </si>
  <si>
    <t>Cashflow available for debt service (CFADS)</t>
  </si>
  <si>
    <t>Debt service (principal + interest)</t>
  </si>
  <si>
    <t>DSCR</t>
  </si>
  <si>
    <t>Minimum DSCR covenant</t>
  </si>
  <si>
    <t>Minimum DSCR achieved</t>
  </si>
  <si>
    <t>DSCR covenant flag (1 = below covenant, review gearing)</t>
  </si>
  <si>
    <t>Check: debt fully repaid by term end</t>
  </si>
  <si>
    <t>Funding Waterfall (Sources by Period)</t>
  </si>
  <si>
    <t>Capex spend (nominal)</t>
  </si>
  <si>
    <t>Grant draw</t>
  </si>
  <si>
    <t>Equity draw (incl. construction interest)</t>
  </si>
  <si>
    <t>Total sources</t>
  </si>
  <si>
    <t>Total uses (spend + equity-funded interest)</t>
  </si>
  <si>
    <t>Check: sources = uses (per period)</t>
  </si>
  <si>
    <t>Sheet check (additions tie to CAPEX)</t>
  </si>
  <si>
    <t>Rotating &amp; mechanical equipment</t>
  </si>
  <si>
    <t>Asset capital cost</t>
  </si>
  <si>
    <t>Useful life</t>
  </si>
  <si>
    <t>Add: capex additions</t>
  </si>
  <si>
    <t>Annual depreciation charge</t>
  </si>
  <si>
    <t>Opening book value</t>
  </si>
  <si>
    <t>Less: depreciation</t>
  </si>
  <si>
    <t>Closing book value</t>
  </si>
  <si>
    <t>Thermal &amp; electrical plant</t>
  </si>
  <si>
    <t>Capitalised soft costs</t>
  </si>
  <si>
    <t>Depreciation Summary (to Financial Statements)</t>
  </si>
  <si>
    <t>Total capex additions</t>
  </si>
  <si>
    <t>Total annual depreciation</t>
  </si>
  <si>
    <t>Total net book value (end of period)</t>
  </si>
  <si>
    <t>Accumulated depreciation</t>
  </si>
  <si>
    <t>Sheet check (EBT identity)</t>
  </si>
  <si>
    <t>Earnings Before Tax</t>
  </si>
  <si>
    <t>Less: interest (operations)</t>
  </si>
  <si>
    <t>Earnings before tax (EBT)</t>
  </si>
  <si>
    <t>Tax Loss Carryforward</t>
  </si>
  <si>
    <t>Carryforward allowed?</t>
  </si>
  <si>
    <t>Opening tax loss</t>
  </si>
  <si>
    <t>Add: current-year loss</t>
  </si>
  <si>
    <t>Less: loss utilised</t>
  </si>
  <si>
    <t>Closing tax loss</t>
  </si>
  <si>
    <t>Corporate Tax</t>
  </si>
  <si>
    <t>Corporate tax rate</t>
  </si>
  <si>
    <t>Taxable income</t>
  </si>
  <si>
    <t>Corporate tax charge</t>
  </si>
  <si>
    <t>Profit after tax</t>
  </si>
  <si>
    <t>Sheet check (balance sheet balances)</t>
  </si>
  <si>
    <t>Income Statement</t>
  </si>
  <si>
    <t>Revenue (heat/cooling sales)</t>
  </si>
  <si>
    <t>Avoided cost (self-supply benefit)</t>
  </si>
  <si>
    <t>Operating expenses</t>
  </si>
  <si>
    <t>Grant income amortisation</t>
  </si>
  <si>
    <t>Interest expense</t>
  </si>
  <si>
    <t>Corporate tax</t>
  </si>
  <si>
    <t>Cash Flow Statement</t>
  </si>
  <si>
    <t>Add back: depreciation</t>
  </si>
  <si>
    <t>Less: non-cash grant income</t>
  </si>
  <si>
    <t>Less: CAPEX</t>
  </si>
  <si>
    <t>Grant received</t>
  </si>
  <si>
    <t>Debt drawn</t>
  </si>
  <si>
    <t>Equity injected</t>
  </si>
  <si>
    <t>Less: debt repayment</t>
  </si>
  <si>
    <t>Net cash flow</t>
  </si>
  <si>
    <t>Cash position (end of period)</t>
  </si>
  <si>
    <t>Retained Earnings</t>
  </si>
  <si>
    <t>Opening retained earnings</t>
  </si>
  <si>
    <t>Add: net income</t>
  </si>
  <si>
    <t>Less: dividends</t>
  </si>
  <si>
    <t>Closing retained earnings</t>
  </si>
  <si>
    <t>Balance Sheet</t>
  </si>
  <si>
    <t>Assets</t>
  </si>
  <si>
    <t>Cash &amp; equivalents</t>
  </si>
  <si>
    <t>Net fixed assets (NBV)</t>
  </si>
  <si>
    <t>Total assets</t>
  </si>
  <si>
    <t>Liabilities &amp; Equity</t>
  </si>
  <si>
    <t>Debt balance</t>
  </si>
  <si>
    <t>Deferred grant income</t>
  </si>
  <si>
    <t>Share capital (equity injected)</t>
  </si>
  <si>
    <t>Retained earnings</t>
  </si>
  <si>
    <t>Total liabilities &amp; equity</t>
  </si>
  <si>
    <t>Balance sheet check (Assets - L&amp;E)</t>
  </si>
  <si>
    <t>Project Returns and Metrics</t>
  </si>
  <si>
    <t>Cost of equity (CAPM)</t>
  </si>
  <si>
    <t>Less: cash tax (unlevered)</t>
  </si>
  <si>
    <t>Project FCF (pre-grant)</t>
  </si>
  <si>
    <t>Project FCF (post-grant)</t>
  </si>
  <si>
    <t>Cumulative FCF (post-grant)</t>
  </si>
  <si>
    <t>Payback period (post-grant)</t>
  </si>
  <si>
    <t>PV of costs (CAPEX + OPEX)</t>
  </si>
  <si>
    <t>PV of heat delivered (MWh)</t>
  </si>
  <si>
    <t>Total costs (CAPEX+OPEX, for LCOH)</t>
  </si>
  <si>
    <t>Heat delivered (MWh, for LCOH)</t>
  </si>
  <si>
    <t>LCOH (cost per MWh heat)</t>
  </si>
  <si>
    <t>Terminal value (residual asset value at horizon)</t>
  </si>
  <si>
    <t>Working Capital Schedule</t>
  </si>
  <si>
    <t>Receivables</t>
  </si>
  <si>
    <t>Payables</t>
  </si>
  <si>
    <t>Net working capital</t>
  </si>
  <si>
    <t>Change in working capital</t>
  </si>
  <si>
    <t>Deferred Tax Schedule</t>
  </si>
  <si>
    <t>Tax WDV opening</t>
  </si>
  <si>
    <t>Add: capex additions (tax)</t>
  </si>
  <si>
    <t>Tax depreciation (declining balance)</t>
  </si>
  <si>
    <t>Tax WDV closing</t>
  </si>
  <si>
    <t>Book NBV (from Depreciation)</t>
  </si>
  <si>
    <t>Temporary difference (book - tax)</t>
  </si>
  <si>
    <t>Deferred tax liability</t>
  </si>
  <si>
    <t>Change in deferred tax</t>
  </si>
  <si>
    <t>Tax Reconciliation</t>
  </si>
  <si>
    <t>Statutory Tax Rate</t>
  </si>
  <si>
    <t>Lifetime pre-tax profit (cumulative EBT)</t>
  </si>
  <si>
    <t>Lifetime cash tax paid</t>
  </si>
  <si>
    <t>Lifetime effective tax rate</t>
  </si>
  <si>
    <t>Effective &lt; statutory: tax deferred by accelerated tax depreciation; closing DTL carried as future liability.</t>
  </si>
  <si>
    <t>Period beginning</t>
  </si>
  <si>
    <t>Period end</t>
  </si>
  <si>
    <t>(Chart data below charts)</t>
  </si>
  <si>
    <t>Chart Data  (all values reference source sheets)</t>
  </si>
  <si>
    <t>Year (x-axis)</t>
  </si>
  <si>
    <t>1. CAPEX Breakdown</t>
  </si>
  <si>
    <t>Source HX</t>
  </si>
  <si>
    <t>Building HX</t>
  </si>
  <si>
    <t>Pipework &amp; civils</t>
  </si>
  <si>
    <t>Electrical</t>
  </si>
  <si>
    <t>2. OPEX Breakdown (year 1 operating)</t>
  </si>
  <si>
    <t>Cleaning &amp; O&amp;M</t>
  </si>
  <si>
    <t>Feedstock</t>
  </si>
  <si>
    <t>3. Energy Balance</t>
  </si>
  <si>
    <t>Heat delivered (system)</t>
  </si>
  <si>
    <t>Backup boiler</t>
  </si>
  <si>
    <t>4. Avoided Cost &amp; Revenue</t>
  </si>
  <si>
    <t>Avoided cost</t>
  </si>
  <si>
    <t>Revenue (sales)</t>
  </si>
  <si>
    <t>5. EBITDA vs Net Income</t>
  </si>
  <si>
    <t>6. Cash Position</t>
  </si>
  <si>
    <t>Cash position</t>
  </si>
  <si>
    <t>7. Cumulative Free Cash Flow</t>
  </si>
  <si>
    <t>Cumulative FCF</t>
  </si>
  <si>
    <t>8. DSCR Profile</t>
  </si>
  <si>
    <t>Covenant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</si>
</sst>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0%"/>
    <numFmt numFmtId="165" formatCode="0;[Red]0;\-"/>
    <numFmt numFmtId="166" formatCode="#,##0;\(#,##0\);\-"/>
    <numFmt numFmtId="167" formatCode="#;\-#;&quot;&quot;"/>
    <numFmt numFmtId="168" formatCode="0.0%;\(0.0%\);\-"/>
    <numFmt numFmtId="169" formatCode="0.000"/>
    <numFmt numFmtId="170" formatCode="0%;\(0%\);\-"/>
    <numFmt numFmtId="171" formatCode="#,##0.00;\(#,##0.00\);\-"/>
    <numFmt numFmtId="172" formatCode="0.0"/>
    <numFmt numFmtId="173" formatCode="0.000000%"/>
    <numFmt numFmtId="174" formatCode="#,##0.0"/>
    <numFmt numFmtId="175" formatCode="0.0000"/>
    <numFmt numFmtId="176" formatCode="#,##0.000;\(#,##0.000\);\-"/>
    <numFmt numFmtId="177" formatCode="0.0000%"/>
    <numFmt numFmtId="178" formatCode="#,##0.0;\(#,##0.0\);\-"/>
    <numFmt numFmtId="179" formatCode="##0,##0;\-##0,##0"/>
  </numFmts>
  <fonts count="72">
    <font>
      <sz val="11"/>
      <color theme="1"/>
      <name val="Calibri"/>
      <family val="2"/>
      <charset val="1"/>
    </font>
    <font>
      <sz val="11"/>
      <color theme="1"/>
      <name val="Calibri"/>
      <family val="2"/>
      <scheme val="minor"/>
    </font>
    <font>
      <sz val="11"/>
      <color theme="1"/>
      <name val="Calibri"/>
      <family val="2"/>
      <scheme val="minor"/>
    </font>
    <font>
      <sz val="10"/>
      <color theme="1" tint="0.49977111117893003"/>
      <name val="Arial"/>
      <family val="2"/>
      <charset val="1"/>
    </font>
    <font>
      <sz val="10"/>
      <color theme="1"/>
      <name val="Calibri"/>
      <family val="2"/>
      <charset val="1"/>
    </font>
    <font>
      <b/>
      <sz val="10"/>
      <color rgb="FFFFFFFF"/>
      <name val="Calibri"/>
      <family val="2"/>
      <charset val="1"/>
    </font>
    <font>
      <b/>
      <sz val="10"/>
      <name val="Calibri"/>
      <family val="2"/>
      <charset val="1"/>
    </font>
    <font>
      <sz val="10"/>
      <color rgb="FF595959"/>
      <name val="Calibri"/>
      <family val="2"/>
      <charset val="1"/>
    </font>
    <font>
      <sz val="10"/>
      <name val="Calibri"/>
      <family val="2"/>
      <charset val="1"/>
    </font>
    <font>
      <sz val="10"/>
      <color rgb="FF0000CC"/>
      <name val="Calibri"/>
      <family val="2"/>
      <charset val="1"/>
    </font>
    <font>
      <sz val="10"/>
      <color rgb="FF008000"/>
      <name val="Calibri"/>
      <family val="2"/>
      <charset val="1"/>
    </font>
    <font>
      <sz val="10"/>
      <color rgb="FF0000FF"/>
      <name val="Calibri"/>
      <family val="2"/>
      <charset val="1"/>
    </font>
    <font>
      <i/>
      <sz val="10"/>
      <color rgb="FF595959"/>
      <name val="Calibri"/>
      <family val="2"/>
      <charset val="1"/>
    </font>
    <font>
      <sz val="10"/>
      <color rgb="FFFF0000"/>
      <name val="Calibri"/>
      <family val="2"/>
      <charset val="1"/>
    </font>
    <font>
      <u/>
      <sz val="10"/>
      <color theme="10"/>
      <name val="Calibri"/>
      <family val="2"/>
      <charset val="1"/>
    </font>
    <font>
      <sz val="10"/>
      <color rgb="FFC00000"/>
      <name val="Calibri"/>
      <family val="2"/>
      <charset val="1"/>
    </font>
    <font>
      <sz val="10"/>
      <color rgb="FFB7791F"/>
      <name val="Calibri"/>
      <family val="2"/>
      <charset val="1"/>
    </font>
    <font>
      <i/>
      <sz val="10"/>
      <color rgb="FFFF0000"/>
      <name val="Calibri"/>
      <family val="2"/>
      <charset val="1"/>
    </font>
    <font>
      <sz val="11"/>
      <name val="Calibri"/>
      <family val="2"/>
      <charset val="1"/>
    </font>
    <font>
      <b/>
      <sz val="14"/>
      <color theme="0"/>
      <name val="Calibri"/>
      <family val="2"/>
      <charset val="1"/>
    </font>
    <font>
      <b/>
      <sz val="10"/>
      <color theme="1"/>
      <name val="Calibri"/>
      <family val="2"/>
      <charset val="1"/>
    </font>
    <font>
      <sz val="10"/>
      <color rgb="FF00B050"/>
      <name val="Calibri"/>
      <family val="2"/>
      <charset val="1"/>
    </font>
    <font>
      <b/>
      <sz val="10"/>
      <color theme="0"/>
      <name val="Calibri"/>
      <family val="2"/>
      <charset val="1"/>
    </font>
    <font>
      <i/>
      <sz val="10"/>
      <color theme="1"/>
      <name val="Calibri"/>
      <family val="2"/>
      <charset val="1"/>
    </font>
    <font>
      <u/>
      <sz val="11"/>
      <color theme="10"/>
      <name val="Calibri"/>
      <family val="2"/>
      <charset val="1"/>
    </font>
    <font>
      <b/>
      <sz val="10"/>
      <color rgb="FFFFFFFF"/>
      <name val="Calibri"/>
      <family val="2"/>
    </font>
    <font>
      <sz val="10"/>
      <name val="Calibri"/>
      <family val="2"/>
    </font>
    <font>
      <sz val="10"/>
      <color rgb="FF595959"/>
      <name val="Calibri"/>
      <family val="2"/>
    </font>
    <font>
      <b/>
      <sz val="11"/>
      <color theme="0"/>
      <name val="Calibri"/>
      <family val="2"/>
      <charset val="1"/>
    </font>
    <font>
      <sz val="11"/>
      <color theme="0"/>
      <name val="Calibri"/>
      <family val="2"/>
      <charset val="1"/>
    </font>
    <font>
      <sz val="10"/>
      <color rgb="FF007635"/>
      <name val="Calibri"/>
      <family val="2"/>
      <charset val="1"/>
    </font>
    <font>
      <sz val="11"/>
      <color rgb="FFFF0000"/>
      <name val="Calibri"/>
      <family val="2"/>
      <charset val="1"/>
    </font>
    <font>
      <b/>
      <sz val="10"/>
      <color rgb="FF007635"/>
      <name val="Calibri"/>
      <family val="2"/>
      <charset val="1"/>
    </font>
    <font>
      <b/>
      <sz val="11"/>
      <name val="Calibri"/>
      <family val="2"/>
      <charset val="1"/>
    </font>
    <font>
      <sz val="10"/>
      <color rgb="FF007038"/>
      <name val="Calibri"/>
      <family val="2"/>
      <charset val="1"/>
    </font>
    <font>
      <sz val="10"/>
      <color rgb="FF008000"/>
      <name val="Calibri"/>
      <family val="2"/>
    </font>
    <font>
      <b/>
      <sz val="10"/>
      <name val="Calibri"/>
      <family val="2"/>
    </font>
    <font>
      <b/>
      <sz val="11"/>
      <color rgb="FFFFFFFF"/>
      <name val="Calibri"/>
      <family val="2"/>
    </font>
    <font>
      <sz val="10"/>
      <color rgb="FF000000"/>
      <name val="Calibri"/>
      <family val="2"/>
    </font>
    <font>
      <b/>
      <sz val="10"/>
      <color theme="0"/>
      <name val="Calibri"/>
      <family val="2"/>
    </font>
    <font>
      <b/>
      <sz val="11"/>
      <color theme="1"/>
      <name val="Calibri"/>
      <family val="2"/>
    </font>
    <font>
      <sz val="10"/>
      <color theme="1"/>
      <name val="Calibri"/>
      <family val="2"/>
    </font>
    <font>
      <b/>
      <sz val="14"/>
      <color rgb="FFFFFFFF"/>
      <name val="Calibri"/>
      <family val="2"/>
      <charset val="1"/>
    </font>
    <font>
      <b/>
      <sz val="14"/>
      <color rgb="FFFFFFFF"/>
      <name val="Calibri"/>
      <family val="2"/>
    </font>
    <font>
      <sz val="10"/>
      <color rgb="FF0039AC"/>
      <name val="Calibri"/>
      <family val="2"/>
    </font>
    <font>
      <i/>
      <sz val="11"/>
      <color theme="1"/>
      <name val="Calibri"/>
      <family val="2"/>
    </font>
    <font>
      <b/>
      <sz val="10"/>
      <color rgb="FFFF0000"/>
      <name val="Calibri"/>
      <family val="2"/>
    </font>
    <font>
      <i/>
      <sz val="9"/>
      <color rgb="FF595959"/>
      <name val="Calibri"/>
      <family val="2"/>
    </font>
    <font>
      <b/>
      <sz val="10"/>
      <color rgb="FF01615C"/>
      <name val="Calibri"/>
      <family val="2"/>
    </font>
    <font>
      <sz val="10"/>
      <color rgb="FF007E00"/>
      <name val="Calibri"/>
      <family val="2"/>
      <charset val="1"/>
    </font>
    <font>
      <sz val="11"/>
      <color rgb="FF007E00"/>
      <name val="Calibri"/>
      <family val="2"/>
      <charset val="1"/>
    </font>
    <font>
      <sz val="11"/>
      <name val="Calibri"/>
      <family val="2"/>
    </font>
    <font>
      <b/>
      <sz val="16"/>
      <name val="Calibri"/>
      <family val="2"/>
    </font>
    <font>
      <sz val="11"/>
      <color theme="1"/>
      <name val="Calibri"/>
      <family val="2"/>
      <charset val="1"/>
    </font>
    <font>
      <b/>
      <sz val="11"/>
      <color theme="1"/>
      <name val="Calibri"/>
      <family val="2"/>
      <scheme val="minor"/>
    </font>
    <font>
      <sz val="9"/>
      <color theme="1"/>
      <name val="Calibri"/>
      <family val="2"/>
      <scheme val="minor"/>
    </font>
    <font>
      <sz val="10"/>
      <color theme="1"/>
      <name val="Calibri"/>
      <family val="2"/>
      <scheme val="minor"/>
    </font>
    <font>
      <b/>
      <sz val="18"/>
      <color theme="1"/>
      <name val="Calibri"/>
      <family val="2"/>
      <scheme val="minor"/>
    </font>
    <font>
      <u/>
      <sz val="11"/>
      <color theme="10"/>
      <name val="Calibri"/>
      <family val="2"/>
      <scheme val="minor"/>
    </font>
    <font>
      <i/>
      <sz val="10"/>
      <color rgb="FFFF0000"/>
      <name val="Calibri"/>
      <family val="2"/>
    </font>
    <font>
      <sz val="10"/>
      <color rgb="FF002060"/>
      <name val="Calibri"/>
      <family val="2"/>
      <charset val="1"/>
    </font>
    <font>
      <sz val="10"/>
      <color rgb="FF003DB8"/>
      <name val="Calibri"/>
      <family val="2"/>
      <charset val="1"/>
    </font>
    <font>
      <sz val="10"/>
      <color rgb="FF003DB8"/>
      <name val="Calibri"/>
      <family val="2"/>
    </font>
    <font>
      <i/>
      <sz val="11"/>
      <color rgb="FFFF0000"/>
      <name val="Calibri"/>
      <family val="2"/>
    </font>
    <font>
      <b/>
      <sz val="12"/>
      <color rgb="FFFFFFFF"/>
      <name val="Calibri"/>
      <family val="2"/>
    </font>
    <font>
      <sz val="11"/>
      <color rgb="FF003DB8"/>
      <name val="Calibri"/>
      <family val="2"/>
      <charset val="1"/>
    </font>
    <font>
      <sz val="11"/>
      <color theme="1"/>
      <name val="Calibri"/>
      <family val="2"/>
    </font>
    <font>
      <i/>
      <sz val="11"/>
      <color theme="1"/>
      <name val="Calibri"/>
      <family val="2"/>
      <scheme val="minor"/>
    </font>
    <font>
      <b/>
      <sz val="11"/>
      <name val="Calibri"/>
      <family val="2"/>
      <scheme val="minor"/>
    </font>
    <font>
      <sz val="11"/>
      <color rgb="FF0000FF"/>
      <name val="Calibri"/>
      <family val="2"/>
      <scheme val="minor"/>
    </font>
    <font>
      <i/>
      <sz val="12"/>
      <name val="Calibri"/>
      <family val="2"/>
      <scheme val="minor"/>
    </font>
    <font>
      <sz val="10"/>
      <color rgb="FF00A200"/>
      <name val="Calibri"/>
      <family val="2"/>
    </font>
  </fonts>
  <fills count="19">
    <fill>
      <patternFill patternType="none"/>
    </fill>
    <fill>
      <patternFill patternType="gray125"/>
    </fill>
    <fill>
      <patternFill patternType="solid">
        <fgColor theme="2" tint="-9.9978637043366805E-2"/>
        <bgColor rgb="FFD9D9D9"/>
      </patternFill>
    </fill>
    <fill>
      <patternFill patternType="solid">
        <fgColor rgb="FF01615C"/>
        <bgColor rgb="FF007038"/>
      </patternFill>
    </fill>
    <fill>
      <patternFill patternType="solid">
        <fgColor theme="9" tint="0.79979857783745845"/>
        <bgColor rgb="FFF2F2F2"/>
      </patternFill>
    </fill>
    <fill>
      <patternFill patternType="solid">
        <fgColor theme="0" tint="-4.9989318521683403E-2"/>
        <bgColor rgb="FFF5F5F5"/>
      </patternFill>
    </fill>
    <fill>
      <patternFill patternType="solid">
        <fgColor theme="0" tint="-0.14999847407452621"/>
        <bgColor rgb="FFDDD9C3"/>
      </patternFill>
    </fill>
    <fill>
      <patternFill patternType="solid">
        <fgColor rgb="FFF5F5F5"/>
        <bgColor rgb="FFF2F2F2"/>
      </patternFill>
    </fill>
    <fill>
      <patternFill patternType="solid">
        <fgColor rgb="FF01615C"/>
      </patternFill>
    </fill>
    <fill>
      <patternFill patternType="solid">
        <fgColor theme="9" tint="0.79998168889431442"/>
        <bgColor indexed="65"/>
      </patternFill>
    </fill>
    <fill>
      <patternFill patternType="solid">
        <fgColor theme="9" tint="0.79998168889431442"/>
        <bgColor indexed="64"/>
      </patternFill>
    </fill>
    <fill>
      <patternFill patternType="solid">
        <fgColor theme="9" tint="0.79998168889431442"/>
        <bgColor rgb="FFF2F2F2"/>
      </patternFill>
    </fill>
    <fill>
      <patternFill patternType="solid">
        <fgColor rgb="FFECECEC"/>
        <bgColor indexed="64"/>
      </patternFill>
    </fill>
    <fill>
      <patternFill patternType="solid">
        <fgColor rgb="FFF7F7F7"/>
        <bgColor indexed="64"/>
      </patternFill>
    </fill>
    <fill>
      <patternFill patternType="solid">
        <fgColor rgb="FFF2F2F2"/>
        <bgColor indexed="64"/>
      </patternFill>
    </fill>
    <fill>
      <patternFill patternType="solid">
        <fgColor rgb="FFF2F2F2"/>
        <bgColor rgb="FFF2F2F2"/>
      </patternFill>
    </fill>
    <fill>
      <patternFill patternType="solid">
        <fgColor theme="0"/>
        <bgColor indexed="64"/>
      </patternFill>
    </fill>
    <fill>
      <patternFill patternType="solid">
        <fgColor theme="6" tint="0.79998168889431442"/>
        <bgColor indexed="64"/>
      </patternFill>
    </fill>
    <fill>
      <patternFill patternType="solid">
        <fgColor theme="2"/>
        <bgColor indexed="64"/>
      </patternFill>
    </fill>
  </fills>
  <borders count="49">
    <border>
      <left/>
      <right/>
      <top/>
      <bottom/>
      <diagonal/>
    </border>
    <border>
      <left style="thin">
        <color auto="1"/>
      </left>
      <right style="thin">
        <color auto="1"/>
      </right>
      <top style="thin">
        <color auto="1"/>
      </top>
      <bottom style="thin">
        <color auto="1"/>
      </bottom>
      <diagonal/>
    </border>
    <border>
      <left style="mediumDashed">
        <color theme="1"/>
      </left>
      <right/>
      <top/>
      <bottom/>
      <diagonal/>
    </border>
    <border>
      <left style="mediumDashed">
        <color theme="1"/>
      </left>
      <right style="mediumDashed">
        <color theme="1"/>
      </right>
      <top/>
      <bottom/>
      <diagonal/>
    </border>
    <border>
      <left style="mediumDashed">
        <color theme="1"/>
      </left>
      <right style="mediumDashed">
        <color theme="1"/>
      </right>
      <top style="mediumDashed">
        <color theme="1"/>
      </top>
      <bottom/>
      <diagonal/>
    </border>
    <border>
      <left/>
      <right/>
      <top style="medium">
        <color theme="1"/>
      </top>
      <bottom/>
      <diagonal/>
    </border>
    <border>
      <left/>
      <right style="mediumDashed">
        <color theme="1"/>
      </right>
      <top/>
      <bottom/>
      <diagonal/>
    </border>
    <border>
      <left style="dotted">
        <color auto="1"/>
      </left>
      <right style="dotted">
        <color auto="1"/>
      </right>
      <top style="dotted">
        <color auto="1"/>
      </top>
      <bottom style="dotted">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dashed">
        <color auto="1"/>
      </left>
      <right style="dashed">
        <color auto="1"/>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dashed">
        <color auto="1"/>
      </left>
      <right style="dashed">
        <color auto="1"/>
      </right>
      <top style="dashed">
        <color auto="1"/>
      </top>
      <bottom/>
      <diagonal/>
    </border>
    <border>
      <left style="dotted">
        <color indexed="64"/>
      </left>
      <right style="dotted">
        <color indexed="64"/>
      </right>
      <top style="dotted">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dotted">
        <color auto="1"/>
      </left>
      <right style="dotted">
        <color auto="1"/>
      </right>
      <top style="dotted">
        <color auto="1"/>
      </top>
      <bottom style="medium">
        <color indexed="64"/>
      </bottom>
      <diagonal/>
    </border>
    <border>
      <left style="dotted">
        <color indexed="64"/>
      </left>
      <right style="dotted">
        <color indexed="64"/>
      </right>
      <top/>
      <bottom style="dotted">
        <color indexed="64"/>
      </bottom>
      <diagonal/>
    </border>
    <border>
      <left/>
      <right style="dotted">
        <color indexed="64"/>
      </right>
      <top/>
      <bottom/>
      <diagonal/>
    </border>
    <border>
      <left/>
      <right style="dotted">
        <color indexed="64"/>
      </right>
      <top/>
      <bottom style="medium">
        <color indexed="64"/>
      </bottom>
      <diagonal/>
    </border>
    <border>
      <left style="dashed">
        <color indexed="64"/>
      </left>
      <right style="dashed">
        <color indexed="64"/>
      </right>
      <top style="dashed">
        <color indexed="64"/>
      </top>
      <bottom style="dashed">
        <color indexed="64"/>
      </bottom>
      <diagonal/>
    </border>
    <border>
      <left/>
      <right style="dashed">
        <color indexed="64"/>
      </right>
      <top/>
      <bottom/>
      <diagonal/>
    </border>
    <border>
      <left/>
      <right style="thin">
        <color indexed="64"/>
      </right>
      <top/>
      <bottom/>
      <diagonal/>
    </border>
    <border>
      <left style="medium">
        <color indexed="64"/>
      </left>
      <right style="medium">
        <color indexed="64"/>
      </right>
      <top/>
      <bottom/>
      <diagonal/>
    </border>
    <border>
      <left style="dotted">
        <color auto="1"/>
      </left>
      <right/>
      <top style="medium">
        <color indexed="64"/>
      </top>
      <bottom style="dotted">
        <color auto="1"/>
      </bottom>
      <diagonal/>
    </border>
    <border>
      <left style="dotted">
        <color auto="1"/>
      </left>
      <right/>
      <top style="dotted">
        <color auto="1"/>
      </top>
      <bottom style="dotted">
        <color auto="1"/>
      </bottom>
      <diagonal/>
    </border>
    <border>
      <left style="dotted">
        <color auto="1"/>
      </left>
      <right/>
      <top style="dotted">
        <color auto="1"/>
      </top>
      <bottom style="medium">
        <color indexed="64"/>
      </bottom>
      <diagonal/>
    </border>
    <border>
      <left style="mediumDashed">
        <color indexed="64"/>
      </left>
      <right/>
      <top/>
      <bottom/>
      <diagonal/>
    </border>
    <border>
      <left/>
      <right style="mediumDashed">
        <color indexed="64"/>
      </right>
      <top/>
      <bottom/>
      <diagonal/>
    </border>
    <border>
      <left style="mediumDashed">
        <color indexed="64"/>
      </left>
      <right/>
      <top/>
      <bottom style="thin">
        <color auto="1"/>
      </bottom>
      <diagonal/>
    </border>
    <border>
      <left/>
      <right style="thin">
        <color auto="1"/>
      </right>
      <top style="thin">
        <color auto="1"/>
      </top>
      <bottom style="thin">
        <color auto="1"/>
      </bottom>
      <diagonal/>
    </border>
    <border>
      <left style="dotted">
        <color auto="1"/>
      </left>
      <right style="dotted">
        <color auto="1"/>
      </right>
      <top style="thin">
        <color indexed="64"/>
      </top>
      <bottom style="dotted">
        <color auto="1"/>
      </bottom>
      <diagonal/>
    </border>
    <border>
      <left/>
      <right style="thin">
        <color indexed="64"/>
      </right>
      <top style="thin">
        <color indexed="64"/>
      </top>
      <bottom/>
      <diagonal/>
    </border>
    <border>
      <left style="dotted">
        <color auto="1"/>
      </left>
      <right style="dotted">
        <color auto="1"/>
      </right>
      <top style="dotted">
        <color auto="1"/>
      </top>
      <bottom style="thin">
        <color indexed="64"/>
      </bottom>
      <diagonal/>
    </border>
    <border>
      <left/>
      <right style="thin">
        <color indexed="64"/>
      </right>
      <top/>
      <bottom style="thin">
        <color indexed="64"/>
      </bottom>
      <diagonal/>
    </border>
    <border>
      <left/>
      <right style="dashed">
        <color auto="1"/>
      </right>
      <top style="thin">
        <color indexed="64"/>
      </top>
      <bottom/>
      <diagonal/>
    </border>
    <border>
      <left style="dotted">
        <color indexed="64"/>
      </left>
      <right style="dotted">
        <color indexed="64"/>
      </right>
      <top style="thin">
        <color auto="1"/>
      </top>
      <bottom style="thin">
        <color auto="1"/>
      </bottom>
      <diagonal/>
    </border>
    <border>
      <left style="mediumDashed">
        <color theme="1"/>
      </left>
      <right style="dotted">
        <color indexed="64"/>
      </right>
      <top/>
      <bottom/>
      <diagonal/>
    </border>
    <border>
      <left style="mediumDashed">
        <color theme="1"/>
      </left>
      <right style="dotted">
        <color indexed="64"/>
      </right>
      <top/>
      <bottom style="medium">
        <color indexed="64"/>
      </bottom>
      <diagonal/>
    </border>
    <border>
      <left style="dotted">
        <color indexed="64"/>
      </left>
      <right style="dotted">
        <color indexed="64"/>
      </right>
      <top/>
      <bottom/>
      <diagonal/>
    </border>
    <border>
      <left style="dashed">
        <color indexed="64"/>
      </left>
      <right/>
      <top style="dashed">
        <color indexed="64"/>
      </top>
      <bottom style="dashed">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3" fillId="2" borderId="1"/>
    <xf numFmtId="9" fontId="53" fillId="0" borderId="0" applyFont="0" applyFill="0" applyBorder="0" applyAlignment="0" applyProtection="0"/>
    <xf numFmtId="0" fontId="2" fillId="0" borderId="0"/>
    <xf numFmtId="0" fontId="58" fillId="0" borderId="0" applyNumberFormat="0" applyFill="0" applyBorder="0" applyAlignment="0" applyProtection="0"/>
    <xf numFmtId="0" fontId="66" fillId="0" borderId="0"/>
    <xf numFmtId="0" fontId="1" fillId="0" borderId="0"/>
  </cellStyleXfs>
  <cellXfs count="421">
    <xf numFmtId="0" fontId="0" fillId="0" borderId="0" xfId="0"/>
    <xf numFmtId="0" fontId="4" fillId="0" borderId="0" xfId="0" applyFont="1"/>
    <xf numFmtId="0" fontId="4" fillId="0" borderId="3" xfId="0" applyFont="1" applyBorder="1"/>
    <xf numFmtId="0" fontId="4" fillId="0" borderId="4" xfId="0" applyFont="1" applyBorder="1"/>
    <xf numFmtId="0" fontId="4" fillId="3" borderId="0" xfId="0" applyFont="1" applyFill="1"/>
    <xf numFmtId="0" fontId="6" fillId="0" borderId="5" xfId="0" applyFont="1" applyBorder="1" applyAlignment="1">
      <alignment horizontal="center"/>
    </xf>
    <xf numFmtId="0" fontId="4" fillId="0" borderId="6" xfId="0" applyFont="1" applyBorder="1"/>
    <xf numFmtId="0" fontId="7" fillId="0" borderId="0" xfId="0" applyFont="1" applyAlignment="1">
      <alignment horizontal="center"/>
    </xf>
    <xf numFmtId="0" fontId="9" fillId="4" borderId="7" xfId="0" applyFont="1" applyFill="1" applyBorder="1" applyAlignment="1">
      <alignment horizontal="center"/>
    </xf>
    <xf numFmtId="1" fontId="10" fillId="0" borderId="0" xfId="0" applyNumberFormat="1" applyFont="1" applyAlignment="1">
      <alignment horizontal="center"/>
    </xf>
    <xf numFmtId="0" fontId="6" fillId="0" borderId="0" xfId="0" applyFont="1" applyAlignment="1">
      <alignment horizontal="center"/>
    </xf>
    <xf numFmtId="0" fontId="6" fillId="0" borderId="0" xfId="0" applyFont="1"/>
    <xf numFmtId="0" fontId="10" fillId="4" borderId="7" xfId="0" applyFont="1" applyFill="1" applyBorder="1" applyAlignment="1">
      <alignment horizontal="center"/>
    </xf>
    <xf numFmtId="0" fontId="7" fillId="0" borderId="0" xfId="0" applyFont="1"/>
    <xf numFmtId="0" fontId="5" fillId="3" borderId="0" xfId="0" applyFont="1" applyFill="1"/>
    <xf numFmtId="0" fontId="4" fillId="0" borderId="0" xfId="0" applyFont="1" applyAlignment="1">
      <alignment horizontal="center"/>
    </xf>
    <xf numFmtId="0" fontId="5" fillId="3" borderId="0" xfId="0" applyFont="1" applyFill="1" applyAlignment="1">
      <alignment horizontal="center"/>
    </xf>
    <xf numFmtId="0" fontId="4" fillId="3" borderId="0" xfId="0" applyFont="1" applyFill="1" applyAlignment="1">
      <alignment horizontal="center"/>
    </xf>
    <xf numFmtId="0" fontId="6" fillId="0" borderId="8" xfId="0" applyFont="1" applyBorder="1" applyAlignment="1">
      <alignment horizontal="center"/>
    </xf>
    <xf numFmtId="0" fontId="11" fillId="4" borderId="1" xfId="0" applyFont="1" applyFill="1" applyBorder="1" applyAlignment="1">
      <alignment horizontal="left"/>
    </xf>
    <xf numFmtId="0" fontId="11" fillId="4" borderId="1" xfId="0" applyFont="1" applyFill="1" applyBorder="1" applyAlignment="1">
      <alignment horizontal="center"/>
    </xf>
    <xf numFmtId="0" fontId="9" fillId="4" borderId="1" xfId="0" applyFont="1" applyFill="1" applyBorder="1" applyAlignment="1">
      <alignment horizontal="center"/>
    </xf>
    <xf numFmtId="0" fontId="9" fillId="4" borderId="9" xfId="0" applyFont="1" applyFill="1" applyBorder="1" applyAlignment="1">
      <alignment horizontal="center"/>
    </xf>
    <xf numFmtId="0" fontId="12" fillId="0" borderId="0" xfId="0" applyFont="1"/>
    <xf numFmtId="0" fontId="6" fillId="0" borderId="8" xfId="0" applyFont="1" applyBorder="1"/>
    <xf numFmtId="0" fontId="8" fillId="0" borderId="0" xfId="0" applyFont="1"/>
    <xf numFmtId="0" fontId="13" fillId="4" borderId="1" xfId="0" applyFont="1" applyFill="1" applyBorder="1" applyAlignment="1">
      <alignment horizontal="center"/>
    </xf>
    <xf numFmtId="0" fontId="14" fillId="0" borderId="0" xfId="0" applyFont="1" applyAlignment="1">
      <alignment horizontal="center"/>
    </xf>
    <xf numFmtId="9" fontId="13" fillId="4" borderId="1" xfId="0" applyNumberFormat="1" applyFont="1" applyFill="1" applyBorder="1" applyAlignment="1">
      <alignment horizontal="center"/>
    </xf>
    <xf numFmtId="0" fontId="14" fillId="0" borderId="0" xfId="0" applyFont="1"/>
    <xf numFmtId="164" fontId="13" fillId="4" borderId="1" xfId="0" applyNumberFormat="1" applyFont="1" applyFill="1" applyBorder="1" applyAlignment="1">
      <alignment horizontal="center"/>
    </xf>
    <xf numFmtId="0" fontId="17" fillId="0" borderId="0" xfId="0" applyFont="1"/>
    <xf numFmtId="14" fontId="8" fillId="0" borderId="0" xfId="0" applyNumberFormat="1" applyFont="1" applyAlignment="1">
      <alignment horizontal="center"/>
    </xf>
    <xf numFmtId="165" fontId="10" fillId="0" borderId="0" xfId="0" applyNumberFormat="1" applyFont="1" applyAlignment="1">
      <alignment horizontal="center"/>
    </xf>
    <xf numFmtId="0" fontId="18" fillId="0" borderId="0" xfId="0" applyFont="1"/>
    <xf numFmtId="1" fontId="8" fillId="0" borderId="0" xfId="0" applyNumberFormat="1" applyFont="1" applyAlignment="1">
      <alignment horizontal="center"/>
    </xf>
    <xf numFmtId="166" fontId="8" fillId="0" borderId="0" xfId="0" applyNumberFormat="1" applyFont="1" applyAlignment="1">
      <alignment horizontal="center"/>
    </xf>
    <xf numFmtId="1" fontId="10" fillId="0" borderId="1" xfId="0" applyNumberFormat="1" applyFont="1" applyBorder="1" applyAlignment="1">
      <alignment horizontal="center"/>
    </xf>
    <xf numFmtId="167" fontId="3" fillId="2" borderId="1" xfId="0" applyNumberFormat="1" applyFont="1" applyFill="1" applyBorder="1" applyAlignment="1">
      <alignment horizontal="center"/>
    </xf>
    <xf numFmtId="168" fontId="10" fillId="0" borderId="1" xfId="0" applyNumberFormat="1" applyFont="1" applyBorder="1" applyAlignment="1">
      <alignment horizontal="center"/>
    </xf>
    <xf numFmtId="0" fontId="0" fillId="3" borderId="0" xfId="0" applyFill="1"/>
    <xf numFmtId="169" fontId="8" fillId="0" borderId="0" xfId="0" applyNumberFormat="1" applyFont="1" applyAlignment="1">
      <alignment horizontal="center"/>
    </xf>
    <xf numFmtId="0" fontId="12" fillId="0" borderId="0" xfId="0" applyFont="1" applyAlignment="1">
      <alignment horizontal="center"/>
    </xf>
    <xf numFmtId="170" fontId="11" fillId="4" borderId="1" xfId="0" applyNumberFormat="1" applyFont="1" applyFill="1" applyBorder="1" applyAlignment="1">
      <alignment horizontal="center"/>
    </xf>
    <xf numFmtId="0" fontId="8" fillId="0" borderId="1" xfId="0" applyFont="1" applyBorder="1" applyAlignment="1">
      <alignment horizontal="center"/>
    </xf>
    <xf numFmtId="166" fontId="10" fillId="4" borderId="1" xfId="0" applyNumberFormat="1" applyFont="1" applyFill="1" applyBorder="1" applyAlignment="1">
      <alignment horizontal="center"/>
    </xf>
    <xf numFmtId="166" fontId="6" fillId="0" borderId="1" xfId="0" applyNumberFormat="1" applyFont="1" applyBorder="1" applyAlignment="1">
      <alignment horizontal="center"/>
    </xf>
    <xf numFmtId="166" fontId="9" fillId="4" borderId="1" xfId="0" applyNumberFormat="1" applyFont="1" applyFill="1" applyBorder="1" applyAlignment="1">
      <alignment horizontal="center"/>
    </xf>
    <xf numFmtId="166" fontId="11" fillId="4" borderId="1" xfId="0" applyNumberFormat="1" applyFont="1" applyFill="1" applyBorder="1" applyAlignment="1">
      <alignment horizontal="center"/>
    </xf>
    <xf numFmtId="0" fontId="4" fillId="0" borderId="10" xfId="0" applyFont="1" applyBorder="1" applyAlignment="1">
      <alignment horizontal="left"/>
    </xf>
    <xf numFmtId="0" fontId="4" fillId="3" borderId="10" xfId="0" applyFont="1" applyFill="1" applyBorder="1" applyAlignment="1">
      <alignment horizontal="left"/>
    </xf>
    <xf numFmtId="0" fontId="10" fillId="4" borderId="1" xfId="0" applyFont="1" applyFill="1" applyBorder="1" applyAlignment="1">
      <alignment horizontal="center"/>
    </xf>
    <xf numFmtId="1" fontId="21" fillId="0" borderId="0" xfId="0" applyNumberFormat="1" applyFont="1" applyAlignment="1">
      <alignment horizontal="center"/>
    </xf>
    <xf numFmtId="0" fontId="8" fillId="0" borderId="0" xfId="0" applyFont="1" applyAlignment="1">
      <alignment horizontal="right"/>
    </xf>
    <xf numFmtId="0" fontId="8" fillId="0" borderId="0" xfId="0" applyFont="1" applyAlignment="1">
      <alignment horizontal="center"/>
    </xf>
    <xf numFmtId="0" fontId="17" fillId="0" borderId="0" xfId="0" applyFont="1" applyAlignment="1">
      <alignment horizontal="center"/>
    </xf>
    <xf numFmtId="0" fontId="6" fillId="0" borderId="11" xfId="0" applyFont="1" applyBorder="1" applyAlignment="1">
      <alignment horizontal="left"/>
    </xf>
    <xf numFmtId="0" fontId="9" fillId="0" borderId="0" xfId="0" applyFont="1" applyAlignment="1">
      <alignment horizontal="center"/>
    </xf>
    <xf numFmtId="0" fontId="7" fillId="0" borderId="10" xfId="0" applyFont="1" applyBorder="1" applyAlignment="1">
      <alignment horizontal="left"/>
    </xf>
    <xf numFmtId="1" fontId="10" fillId="4" borderId="1" xfId="0" applyNumberFormat="1" applyFont="1" applyFill="1" applyBorder="1" applyAlignment="1">
      <alignment horizontal="center"/>
    </xf>
    <xf numFmtId="166" fontId="8" fillId="0" borderId="1" xfId="0" applyNumberFormat="1" applyFont="1" applyBorder="1" applyAlignment="1">
      <alignment horizontal="center"/>
    </xf>
    <xf numFmtId="1" fontId="11" fillId="4" borderId="1" xfId="0" applyNumberFormat="1" applyFont="1" applyFill="1" applyBorder="1" applyAlignment="1">
      <alignment horizontal="center"/>
    </xf>
    <xf numFmtId="1" fontId="8" fillId="0" borderId="1" xfId="0" applyNumberFormat="1" applyFont="1" applyBorder="1" applyAlignment="1">
      <alignment horizontal="center"/>
    </xf>
    <xf numFmtId="1" fontId="16" fillId="4" borderId="1" xfId="0" applyNumberFormat="1" applyFont="1" applyFill="1" applyBorder="1" applyAlignment="1">
      <alignment horizontal="center"/>
    </xf>
    <xf numFmtId="171" fontId="13" fillId="4" borderId="1" xfId="0" applyNumberFormat="1" applyFont="1" applyFill="1" applyBorder="1" applyAlignment="1">
      <alignment horizontal="center"/>
    </xf>
    <xf numFmtId="0" fontId="13" fillId="0" borderId="0" xfId="0" applyFont="1" applyAlignment="1">
      <alignment horizontal="center"/>
    </xf>
    <xf numFmtId="170" fontId="13" fillId="4" borderId="1" xfId="0" applyNumberFormat="1" applyFont="1" applyFill="1" applyBorder="1" applyAlignment="1">
      <alignment horizontal="center"/>
    </xf>
    <xf numFmtId="166" fontId="13" fillId="4" borderId="1" xfId="0" applyNumberFormat="1" applyFont="1" applyFill="1" applyBorder="1" applyAlignment="1">
      <alignment horizontal="center"/>
    </xf>
    <xf numFmtId="171" fontId="11" fillId="4" borderId="1" xfId="0" applyNumberFormat="1" applyFont="1" applyFill="1" applyBorder="1" applyAlignment="1">
      <alignment horizontal="center"/>
    </xf>
    <xf numFmtId="171" fontId="8" fillId="0" borderId="1" xfId="0" applyNumberFormat="1" applyFont="1" applyBorder="1" applyAlignment="1">
      <alignment horizontal="center"/>
    </xf>
    <xf numFmtId="170" fontId="8" fillId="0" borderId="1" xfId="0" applyNumberFormat="1" applyFont="1" applyBorder="1" applyAlignment="1">
      <alignment horizontal="center"/>
    </xf>
    <xf numFmtId="0" fontId="17" fillId="0" borderId="10" xfId="0" applyFont="1" applyBorder="1" applyAlignment="1">
      <alignment horizontal="left"/>
    </xf>
    <xf numFmtId="0" fontId="24" fillId="0" borderId="0" xfId="0" applyFont="1" applyAlignment="1">
      <alignment horizontal="center"/>
    </xf>
    <xf numFmtId="171" fontId="10" fillId="4" borderId="1" xfId="0" applyNumberFormat="1" applyFont="1" applyFill="1" applyBorder="1" applyAlignment="1">
      <alignment horizontal="center"/>
    </xf>
    <xf numFmtId="168" fontId="11" fillId="4" borderId="1" xfId="0" applyNumberFormat="1" applyFont="1" applyFill="1" applyBorder="1" applyAlignment="1">
      <alignment horizontal="center"/>
    </xf>
    <xf numFmtId="168" fontId="8" fillId="0" borderId="1" xfId="0" applyNumberFormat="1" applyFont="1" applyBorder="1" applyAlignment="1">
      <alignment horizontal="center"/>
    </xf>
    <xf numFmtId="0" fontId="15" fillId="0" borderId="0" xfId="0" applyFont="1" applyAlignment="1">
      <alignment horizontal="center"/>
    </xf>
    <xf numFmtId="171" fontId="10" fillId="0" borderId="1" xfId="0" applyNumberFormat="1" applyFont="1" applyBorder="1" applyAlignment="1">
      <alignment horizontal="center"/>
    </xf>
    <xf numFmtId="0" fontId="11" fillId="4" borderId="1" xfId="0" applyFont="1" applyFill="1" applyBorder="1"/>
    <xf numFmtId="168" fontId="10" fillId="4" borderId="1" xfId="0" applyNumberFormat="1" applyFont="1" applyFill="1" applyBorder="1" applyAlignment="1">
      <alignment horizontal="center"/>
    </xf>
    <xf numFmtId="2" fontId="11" fillId="4" borderId="1" xfId="0" applyNumberFormat="1" applyFont="1" applyFill="1" applyBorder="1" applyAlignment="1">
      <alignment horizontal="center"/>
    </xf>
    <xf numFmtId="2" fontId="8" fillId="0" borderId="1" xfId="0" applyNumberFormat="1" applyFont="1" applyBorder="1" applyAlignment="1">
      <alignment horizontal="center"/>
    </xf>
    <xf numFmtId="168" fontId="13" fillId="4" borderId="1" xfId="0" applyNumberFormat="1" applyFont="1" applyFill="1" applyBorder="1" applyAlignment="1">
      <alignment horizontal="center"/>
    </xf>
    <xf numFmtId="0" fontId="13" fillId="0" borderId="0" xfId="0" applyFont="1"/>
    <xf numFmtId="2" fontId="13" fillId="4" borderId="1" xfId="0" applyNumberFormat="1" applyFont="1" applyFill="1" applyBorder="1" applyAlignment="1">
      <alignment horizontal="center"/>
    </xf>
    <xf numFmtId="166" fontId="10" fillId="0" borderId="0" xfId="0" applyNumberFormat="1" applyFont="1" applyAlignment="1">
      <alignment horizontal="center"/>
    </xf>
    <xf numFmtId="2" fontId="10" fillId="0" borderId="0" xfId="0" applyNumberFormat="1" applyFont="1" applyAlignment="1">
      <alignment horizontal="center"/>
    </xf>
    <xf numFmtId="0" fontId="25" fillId="3" borderId="0" xfId="0" applyFont="1" applyFill="1"/>
    <xf numFmtId="0" fontId="26" fillId="0" borderId="0" xfId="0" applyFont="1"/>
    <xf numFmtId="0" fontId="0" fillId="0" borderId="12" xfId="0" applyBorder="1"/>
    <xf numFmtId="165" fontId="20" fillId="5" borderId="1" xfId="0" applyNumberFormat="1" applyFont="1" applyFill="1" applyBorder="1" applyAlignment="1">
      <alignment horizontal="center"/>
    </xf>
    <xf numFmtId="14" fontId="8" fillId="0" borderId="13" xfId="0" applyNumberFormat="1" applyFont="1" applyBorder="1" applyAlignment="1">
      <alignment horizontal="center"/>
    </xf>
    <xf numFmtId="14" fontId="8" fillId="0" borderId="14" xfId="0" applyNumberFormat="1" applyFont="1" applyBorder="1" applyAlignment="1">
      <alignment horizontal="center"/>
    </xf>
    <xf numFmtId="14" fontId="8" fillId="0" borderId="11" xfId="0" applyNumberFormat="1" applyFont="1" applyBorder="1" applyAlignment="1">
      <alignment horizontal="center"/>
    </xf>
    <xf numFmtId="14" fontId="8" fillId="0" borderId="8" xfId="0" applyNumberFormat="1" applyFont="1" applyBorder="1" applyAlignment="1">
      <alignment horizontal="center"/>
    </xf>
    <xf numFmtId="1" fontId="8" fillId="0" borderId="13" xfId="0" applyNumberFormat="1" applyFont="1" applyBorder="1" applyAlignment="1">
      <alignment horizontal="center"/>
    </xf>
    <xf numFmtId="1" fontId="8" fillId="0" borderId="14" xfId="0" applyNumberFormat="1" applyFont="1" applyBorder="1" applyAlignment="1">
      <alignment horizontal="center"/>
    </xf>
    <xf numFmtId="1" fontId="8" fillId="0" borderId="11" xfId="0" applyNumberFormat="1" applyFont="1" applyBorder="1" applyAlignment="1">
      <alignment horizontal="center"/>
    </xf>
    <xf numFmtId="1" fontId="8" fillId="0" borderId="8" xfId="0" applyNumberFormat="1" applyFont="1" applyBorder="1" applyAlignment="1">
      <alignment horizontal="center"/>
    </xf>
    <xf numFmtId="0" fontId="28" fillId="3" borderId="0" xfId="0" applyFont="1" applyFill="1" applyAlignment="1">
      <alignment horizontal="center"/>
    </xf>
    <xf numFmtId="167" fontId="3" fillId="2" borderId="9" xfId="0" applyNumberFormat="1" applyFont="1" applyFill="1" applyBorder="1" applyAlignment="1">
      <alignment horizontal="center"/>
    </xf>
    <xf numFmtId="0" fontId="29" fillId="3" borderId="0" xfId="0" applyFont="1" applyFill="1" applyAlignment="1">
      <alignment horizontal="center"/>
    </xf>
    <xf numFmtId="1" fontId="8" fillId="0" borderId="9" xfId="0" applyNumberFormat="1" applyFont="1" applyBorder="1" applyAlignment="1">
      <alignment horizontal="center"/>
    </xf>
    <xf numFmtId="166" fontId="4" fillId="5" borderId="1" xfId="0" applyNumberFormat="1" applyFont="1" applyFill="1" applyBorder="1" applyAlignment="1">
      <alignment horizontal="center"/>
    </xf>
    <xf numFmtId="2" fontId="8" fillId="0" borderId="0" xfId="0" applyNumberFormat="1" applyFont="1" applyAlignment="1">
      <alignment horizontal="center"/>
    </xf>
    <xf numFmtId="166" fontId="4" fillId="5" borderId="15" xfId="0" applyNumberFormat="1" applyFont="1" applyFill="1" applyBorder="1" applyAlignment="1">
      <alignment horizontal="center"/>
    </xf>
    <xf numFmtId="0" fontId="8" fillId="0" borderId="14" xfId="0" applyFont="1" applyBorder="1"/>
    <xf numFmtId="0" fontId="7" fillId="0" borderId="14" xfId="0" applyFont="1" applyBorder="1" applyAlignment="1">
      <alignment horizontal="center"/>
    </xf>
    <xf numFmtId="0" fontId="0" fillId="0" borderId="14" xfId="0" applyBorder="1"/>
    <xf numFmtId="166" fontId="20" fillId="5" borderId="1" xfId="0" applyNumberFormat="1" applyFont="1" applyFill="1" applyBorder="1" applyAlignment="1">
      <alignment horizontal="center"/>
    </xf>
    <xf numFmtId="166" fontId="6" fillId="0" borderId="14" xfId="0" applyNumberFormat="1" applyFont="1" applyBorder="1" applyAlignment="1">
      <alignment horizontal="center"/>
    </xf>
    <xf numFmtId="0" fontId="31" fillId="0" borderId="0" xfId="0" applyFont="1"/>
    <xf numFmtId="0" fontId="6" fillId="0" borderId="14" xfId="0" applyFont="1" applyBorder="1"/>
    <xf numFmtId="166" fontId="32" fillId="0" borderId="1" xfId="0" applyNumberFormat="1" applyFont="1" applyBorder="1" applyAlignment="1">
      <alignment horizontal="center"/>
    </xf>
    <xf numFmtId="166" fontId="32" fillId="0" borderId="15" xfId="0" applyNumberFormat="1" applyFont="1" applyBorder="1" applyAlignment="1">
      <alignment horizontal="center"/>
    </xf>
    <xf numFmtId="166" fontId="6" fillId="0" borderId="0" xfId="0" applyNumberFormat="1" applyFont="1" applyAlignment="1">
      <alignment horizontal="center"/>
    </xf>
    <xf numFmtId="0" fontId="8" fillId="3" borderId="0" xfId="0" applyFont="1" applyFill="1"/>
    <xf numFmtId="0" fontId="7" fillId="3" borderId="0" xfId="0" applyFont="1" applyFill="1" applyAlignment="1">
      <alignment horizontal="center"/>
    </xf>
    <xf numFmtId="166" fontId="6" fillId="3" borderId="0" xfId="0" applyNumberFormat="1" applyFont="1" applyFill="1" applyAlignment="1">
      <alignment horizontal="center"/>
    </xf>
    <xf numFmtId="166" fontId="10" fillId="3" borderId="0" xfId="0" applyNumberFormat="1" applyFont="1" applyFill="1" applyAlignment="1">
      <alignment horizontal="center"/>
    </xf>
    <xf numFmtId="168" fontId="10" fillId="0" borderId="0" xfId="0" applyNumberFormat="1" applyFont="1" applyAlignment="1">
      <alignment horizontal="center"/>
    </xf>
    <xf numFmtId="0" fontId="5" fillId="0" borderId="0" xfId="0" applyFont="1"/>
    <xf numFmtId="166" fontId="8" fillId="0" borderId="14" xfId="0" applyNumberFormat="1" applyFont="1" applyBorder="1" applyAlignment="1">
      <alignment horizontal="center"/>
    </xf>
    <xf numFmtId="168" fontId="8" fillId="0" borderId="0" xfId="0" applyNumberFormat="1" applyFont="1" applyAlignment="1">
      <alignment horizontal="center"/>
    </xf>
    <xf numFmtId="0" fontId="6" fillId="3" borderId="0" xfId="0" applyFont="1" applyFill="1"/>
    <xf numFmtId="0" fontId="6" fillId="6" borderId="0" xfId="0" applyFont="1" applyFill="1" applyAlignment="1">
      <alignment horizontal="center"/>
    </xf>
    <xf numFmtId="0" fontId="6" fillId="0" borderId="14" xfId="0" applyFont="1" applyBorder="1" applyAlignment="1">
      <alignment horizontal="center"/>
    </xf>
    <xf numFmtId="0" fontId="33" fillId="0" borderId="14" xfId="0" applyFont="1" applyBorder="1"/>
    <xf numFmtId="0" fontId="0" fillId="0" borderId="16" xfId="0" applyBorder="1"/>
    <xf numFmtId="165" fontId="20" fillId="0" borderId="0" xfId="0" applyNumberFormat="1" applyFont="1" applyAlignment="1">
      <alignment horizontal="center"/>
    </xf>
    <xf numFmtId="168" fontId="6" fillId="5" borderId="1" xfId="0" applyNumberFormat="1" applyFont="1" applyFill="1" applyBorder="1" applyAlignment="1">
      <alignment horizontal="center"/>
    </xf>
    <xf numFmtId="168" fontId="30" fillId="6" borderId="0" xfId="0" applyNumberFormat="1" applyFont="1" applyFill="1" applyAlignment="1">
      <alignment horizontal="center"/>
    </xf>
    <xf numFmtId="166" fontId="6" fillId="5" borderId="1" xfId="0" applyNumberFormat="1" applyFont="1" applyFill="1" applyBorder="1" applyAlignment="1">
      <alignment horizontal="center"/>
    </xf>
    <xf numFmtId="169" fontId="10" fillId="0" borderId="0" xfId="0" applyNumberFormat="1" applyFont="1" applyAlignment="1">
      <alignment horizontal="center"/>
    </xf>
    <xf numFmtId="0" fontId="18" fillId="0" borderId="12" xfId="0" applyFont="1" applyBorder="1"/>
    <xf numFmtId="0" fontId="18" fillId="3" borderId="0" xfId="0" applyFont="1" applyFill="1"/>
    <xf numFmtId="166" fontId="8" fillId="7" borderId="1" xfId="0" applyNumberFormat="1" applyFont="1" applyFill="1" applyBorder="1" applyAlignment="1">
      <alignment horizontal="center"/>
    </xf>
    <xf numFmtId="165" fontId="10" fillId="7" borderId="1" xfId="0" applyNumberFormat="1" applyFont="1" applyFill="1" applyBorder="1" applyAlignment="1">
      <alignment horizontal="center"/>
    </xf>
    <xf numFmtId="165" fontId="8" fillId="0" borderId="0" xfId="0" applyNumberFormat="1" applyFont="1" applyAlignment="1">
      <alignment horizontal="center"/>
    </xf>
    <xf numFmtId="166" fontId="8" fillId="0" borderId="15" xfId="0" applyNumberFormat="1" applyFont="1" applyBorder="1" applyAlignment="1">
      <alignment horizontal="center"/>
    </xf>
    <xf numFmtId="0" fontId="0" fillId="8" borderId="0" xfId="0" applyFill="1"/>
    <xf numFmtId="0" fontId="36" fillId="0" borderId="0" xfId="0" applyFont="1" applyAlignment="1">
      <alignment horizontal="left"/>
    </xf>
    <xf numFmtId="0" fontId="36" fillId="0" borderId="0" xfId="0" applyFont="1" applyAlignment="1">
      <alignment horizontal="center"/>
    </xf>
    <xf numFmtId="0" fontId="37" fillId="8" borderId="0" xfId="0" applyFont="1" applyFill="1"/>
    <xf numFmtId="0" fontId="38" fillId="0" borderId="0" xfId="0" applyFont="1" applyAlignment="1">
      <alignment horizontal="left"/>
    </xf>
    <xf numFmtId="0" fontId="39" fillId="3" borderId="0" xfId="0" applyFont="1" applyFill="1"/>
    <xf numFmtId="0" fontId="0" fillId="0" borderId="0" xfId="0" applyAlignment="1">
      <alignment horizontal="center"/>
    </xf>
    <xf numFmtId="173" fontId="0" fillId="0" borderId="0" xfId="0" applyNumberFormat="1" applyAlignment="1">
      <alignment horizontal="center"/>
    </xf>
    <xf numFmtId="0" fontId="40" fillId="0" borderId="0" xfId="0" applyFont="1" applyAlignment="1">
      <alignment horizontal="center"/>
    </xf>
    <xf numFmtId="0" fontId="40" fillId="0" borderId="0" xfId="0" applyFont="1"/>
    <xf numFmtId="0" fontId="7" fillId="0" borderId="18" xfId="0" applyFont="1" applyBorder="1" applyAlignment="1">
      <alignment horizontal="center"/>
    </xf>
    <xf numFmtId="0" fontId="7" fillId="0" borderId="19" xfId="0" applyFont="1" applyBorder="1" applyAlignment="1">
      <alignment horizontal="center"/>
    </xf>
    <xf numFmtId="0" fontId="6" fillId="0" borderId="18" xfId="0" applyFont="1" applyBorder="1" applyAlignment="1">
      <alignment horizontal="center"/>
    </xf>
    <xf numFmtId="0" fontId="0" fillId="0" borderId="19" xfId="0" applyBorder="1"/>
    <xf numFmtId="168" fontId="10" fillId="4" borderId="23" xfId="0" applyNumberFormat="1" applyFont="1" applyFill="1" applyBorder="1" applyAlignment="1">
      <alignment horizontal="center"/>
    </xf>
    <xf numFmtId="0" fontId="4" fillId="0" borderId="18" xfId="0" applyFont="1" applyBorder="1"/>
    <xf numFmtId="0" fontId="4" fillId="0" borderId="19" xfId="0" applyFont="1" applyBorder="1"/>
    <xf numFmtId="0" fontId="0" fillId="10" borderId="24" xfId="0" applyFill="1" applyBorder="1" applyAlignment="1">
      <alignment horizontal="center"/>
    </xf>
    <xf numFmtId="0" fontId="0" fillId="10" borderId="7" xfId="0" applyFill="1" applyBorder="1" applyAlignment="1">
      <alignment horizontal="center"/>
    </xf>
    <xf numFmtId="0" fontId="4" fillId="3" borderId="18" xfId="0" applyFont="1" applyFill="1" applyBorder="1"/>
    <xf numFmtId="0" fontId="39" fillId="3" borderId="18" xfId="0" applyFont="1" applyFill="1" applyBorder="1"/>
    <xf numFmtId="0" fontId="0" fillId="0" borderId="18" xfId="0" applyBorder="1"/>
    <xf numFmtId="0" fontId="0" fillId="0" borderId="21" xfId="0" applyBorder="1"/>
    <xf numFmtId="166" fontId="44" fillId="10" borderId="27" xfId="0" applyNumberFormat="1" applyFont="1" applyFill="1" applyBorder="1" applyAlignment="1">
      <alignment horizontal="center"/>
    </xf>
    <xf numFmtId="1" fontId="44" fillId="10" borderId="27" xfId="0" applyNumberFormat="1" applyFont="1" applyFill="1" applyBorder="1" applyAlignment="1">
      <alignment horizontal="center"/>
    </xf>
    <xf numFmtId="171" fontId="44" fillId="10" borderId="27" xfId="0" applyNumberFormat="1" applyFont="1" applyFill="1" applyBorder="1" applyAlignment="1">
      <alignment horizontal="center"/>
    </xf>
    <xf numFmtId="170" fontId="44" fillId="10" borderId="27" xfId="0" applyNumberFormat="1" applyFont="1" applyFill="1" applyBorder="1" applyAlignment="1">
      <alignment horizontal="center"/>
    </xf>
    <xf numFmtId="168" fontId="44" fillId="10" borderId="27" xfId="0" applyNumberFormat="1" applyFont="1" applyFill="1" applyBorder="1" applyAlignment="1">
      <alignment horizontal="center"/>
    </xf>
    <xf numFmtId="0" fontId="44" fillId="10" borderId="27" xfId="0" applyFont="1" applyFill="1" applyBorder="1" applyAlignment="1">
      <alignment horizontal="center"/>
    </xf>
    <xf numFmtId="2" fontId="44" fillId="10" borderId="27" xfId="0" applyNumberFormat="1" applyFont="1" applyFill="1" applyBorder="1" applyAlignment="1">
      <alignment horizontal="center"/>
    </xf>
    <xf numFmtId="164" fontId="44" fillId="10" borderId="27" xfId="0" applyNumberFormat="1" applyFont="1" applyFill="1" applyBorder="1" applyAlignment="1">
      <alignment horizontal="center"/>
    </xf>
    <xf numFmtId="9" fontId="44" fillId="10" borderId="27" xfId="0" applyNumberFormat="1" applyFont="1" applyFill="1" applyBorder="1" applyAlignment="1">
      <alignment horizontal="center"/>
    </xf>
    <xf numFmtId="0" fontId="0" fillId="0" borderId="28" xfId="0" applyBorder="1"/>
    <xf numFmtId="0" fontId="38" fillId="0" borderId="18" xfId="0" applyFont="1" applyBorder="1" applyAlignment="1">
      <alignment horizontal="left"/>
    </xf>
    <xf numFmtId="0" fontId="38" fillId="0" borderId="19" xfId="0" applyFont="1" applyBorder="1" applyAlignment="1">
      <alignment horizontal="left"/>
    </xf>
    <xf numFmtId="0" fontId="0" fillId="0" borderId="30" xfId="0" applyBorder="1"/>
    <xf numFmtId="0" fontId="45" fillId="0" borderId="0" xfId="0" applyFont="1" applyAlignment="1">
      <alignment horizontal="left"/>
    </xf>
    <xf numFmtId="166" fontId="44" fillId="10" borderId="27" xfId="0" applyNumberFormat="1" applyFont="1" applyFill="1" applyBorder="1" applyAlignment="1">
      <alignment horizontal="center" vertical="center"/>
    </xf>
    <xf numFmtId="171" fontId="4" fillId="0" borderId="0" xfId="0" applyNumberFormat="1" applyFont="1"/>
    <xf numFmtId="0" fontId="9" fillId="11" borderId="1" xfId="0" applyFont="1" applyFill="1" applyBorder="1" applyAlignment="1">
      <alignment horizontal="center"/>
    </xf>
    <xf numFmtId="166" fontId="9" fillId="11" borderId="1" xfId="0" applyNumberFormat="1" applyFont="1" applyFill="1" applyBorder="1" applyAlignment="1">
      <alignment horizontal="center"/>
    </xf>
    <xf numFmtId="0" fontId="0" fillId="0" borderId="34" xfId="0" applyBorder="1"/>
    <xf numFmtId="0" fontId="5" fillId="3" borderId="18" xfId="0" applyFont="1" applyFill="1" applyBorder="1"/>
    <xf numFmtId="0" fontId="6" fillId="0" borderId="18" xfId="0" applyFont="1" applyBorder="1"/>
    <xf numFmtId="0" fontId="8" fillId="0" borderId="19" xfId="0" applyFont="1" applyBorder="1"/>
    <xf numFmtId="0" fontId="4" fillId="0" borderId="35" xfId="0" applyFont="1" applyBorder="1"/>
    <xf numFmtId="164" fontId="9" fillId="11" borderId="1" xfId="0" applyNumberFormat="1" applyFont="1" applyFill="1" applyBorder="1" applyAlignment="1">
      <alignment horizontal="center"/>
    </xf>
    <xf numFmtId="166" fontId="16" fillId="11" borderId="1" xfId="0" applyNumberFormat="1" applyFont="1" applyFill="1" applyBorder="1" applyAlignment="1">
      <alignment horizontal="center"/>
    </xf>
    <xf numFmtId="0" fontId="20" fillId="0" borderId="0" xfId="0" applyFont="1" applyAlignment="1">
      <alignment horizontal="center"/>
    </xf>
    <xf numFmtId="0" fontId="8" fillId="0" borderId="9" xfId="0" applyFont="1" applyBorder="1" applyAlignment="1">
      <alignment horizontal="center"/>
    </xf>
    <xf numFmtId="0" fontId="4" fillId="0" borderId="9" xfId="0" applyFont="1" applyBorder="1" applyAlignment="1">
      <alignment horizontal="center"/>
    </xf>
    <xf numFmtId="0" fontId="22" fillId="3" borderId="0" xfId="0" applyFont="1" applyFill="1"/>
    <xf numFmtId="0" fontId="20" fillId="0" borderId="0" xfId="0" applyFont="1"/>
    <xf numFmtId="0" fontId="4" fillId="3" borderId="34" xfId="0" applyFont="1" applyFill="1" applyBorder="1"/>
    <xf numFmtId="0" fontId="4" fillId="0" borderId="34" xfId="0" applyFont="1" applyBorder="1"/>
    <xf numFmtId="0" fontId="12" fillId="0" borderId="34" xfId="0" applyFont="1" applyBorder="1" applyAlignment="1">
      <alignment horizontal="center"/>
    </xf>
    <xf numFmtId="0" fontId="6" fillId="0" borderId="36" xfId="0" applyFont="1" applyBorder="1" applyAlignment="1">
      <alignment horizontal="center"/>
    </xf>
    <xf numFmtId="0" fontId="23" fillId="0" borderId="34" xfId="0" applyFont="1" applyBorder="1"/>
    <xf numFmtId="0" fontId="5" fillId="3" borderId="34" xfId="0" applyFont="1" applyFill="1" applyBorder="1"/>
    <xf numFmtId="0" fontId="0" fillId="3" borderId="34" xfId="0" applyFill="1" applyBorder="1"/>
    <xf numFmtId="0" fontId="7" fillId="0" borderId="34" xfId="0" applyFont="1" applyBorder="1"/>
    <xf numFmtId="0" fontId="7" fillId="0" borderId="34" xfId="0" applyFont="1" applyBorder="1" applyAlignment="1">
      <alignment horizontal="center"/>
    </xf>
    <xf numFmtId="0" fontId="27" fillId="0" borderId="34" xfId="0" applyFont="1" applyBorder="1" applyAlignment="1">
      <alignment horizontal="center"/>
    </xf>
    <xf numFmtId="171" fontId="4" fillId="10" borderId="7" xfId="0" applyNumberFormat="1" applyFont="1" applyFill="1" applyBorder="1" applyAlignment="1">
      <alignment horizontal="center"/>
    </xf>
    <xf numFmtId="0" fontId="35" fillId="0" borderId="7" xfId="0" applyFont="1" applyBorder="1" applyAlignment="1">
      <alignment horizontal="center"/>
    </xf>
    <xf numFmtId="165" fontId="10" fillId="0" borderId="7" xfId="0" applyNumberFormat="1" applyFont="1" applyBorder="1" applyAlignment="1">
      <alignment horizontal="center"/>
    </xf>
    <xf numFmtId="169" fontId="8" fillId="10" borderId="7" xfId="0" applyNumberFormat="1" applyFont="1" applyFill="1" applyBorder="1" applyAlignment="1">
      <alignment horizontal="center"/>
    </xf>
    <xf numFmtId="175" fontId="4" fillId="10" borderId="7" xfId="0" applyNumberFormat="1" applyFont="1" applyFill="1" applyBorder="1" applyAlignment="1">
      <alignment horizontal="center"/>
    </xf>
    <xf numFmtId="167" fontId="3" fillId="2" borderId="37" xfId="0" applyNumberFormat="1" applyFont="1" applyFill="1" applyBorder="1" applyAlignment="1">
      <alignment horizontal="center"/>
    </xf>
    <xf numFmtId="1" fontId="6" fillId="0" borderId="7" xfId="0" applyNumberFormat="1" applyFont="1" applyBorder="1" applyAlignment="1">
      <alignment horizontal="center"/>
    </xf>
    <xf numFmtId="170" fontId="11" fillId="4" borderId="7" xfId="0" applyNumberFormat="1" applyFont="1" applyFill="1" applyBorder="1" applyAlignment="1">
      <alignment horizontal="center"/>
    </xf>
    <xf numFmtId="170" fontId="6" fillId="0" borderId="7" xfId="0" applyNumberFormat="1" applyFont="1" applyBorder="1" applyAlignment="1">
      <alignment horizontal="center"/>
    </xf>
    <xf numFmtId="0" fontId="8" fillId="0" borderId="7" xfId="0" applyFont="1" applyBorder="1" applyAlignment="1">
      <alignment horizontal="center"/>
    </xf>
    <xf numFmtId="166" fontId="10" fillId="4" borderId="7" xfId="0" applyNumberFormat="1" applyFont="1" applyFill="1" applyBorder="1" applyAlignment="1">
      <alignment horizontal="center"/>
    </xf>
    <xf numFmtId="166" fontId="8" fillId="4" borderId="7" xfId="0" applyNumberFormat="1" applyFont="1" applyFill="1" applyBorder="1" applyAlignment="1">
      <alignment horizontal="center"/>
    </xf>
    <xf numFmtId="166" fontId="6" fillId="0" borderId="7" xfId="0" applyNumberFormat="1" applyFont="1" applyBorder="1" applyAlignment="1">
      <alignment horizontal="center"/>
    </xf>
    <xf numFmtId="166" fontId="9" fillId="4" borderId="7" xfId="0" applyNumberFormat="1" applyFont="1" applyFill="1" applyBorder="1" applyAlignment="1">
      <alignment horizontal="center"/>
    </xf>
    <xf numFmtId="166" fontId="11" fillId="4" borderId="7" xfId="0" applyNumberFormat="1" applyFont="1" applyFill="1" applyBorder="1" applyAlignment="1">
      <alignment horizontal="center"/>
    </xf>
    <xf numFmtId="170" fontId="9" fillId="4" borderId="7" xfId="0" applyNumberFormat="1" applyFont="1" applyFill="1" applyBorder="1" applyAlignment="1">
      <alignment horizontal="center"/>
    </xf>
    <xf numFmtId="166" fontId="8" fillId="10" borderId="7" xfId="0" applyNumberFormat="1" applyFont="1" applyFill="1" applyBorder="1" applyAlignment="1">
      <alignment horizontal="center"/>
    </xf>
    <xf numFmtId="171" fontId="8" fillId="10" borderId="7" xfId="0" applyNumberFormat="1" applyFont="1" applyFill="1" applyBorder="1" applyAlignment="1">
      <alignment horizontal="center"/>
    </xf>
    <xf numFmtId="171" fontId="8" fillId="10" borderId="17" xfId="0" applyNumberFormat="1" applyFont="1" applyFill="1" applyBorder="1" applyAlignment="1">
      <alignment horizontal="center"/>
    </xf>
    <xf numFmtId="171" fontId="6" fillId="10" borderId="38" xfId="0" applyNumberFormat="1" applyFont="1" applyFill="1" applyBorder="1" applyAlignment="1">
      <alignment horizontal="center"/>
    </xf>
    <xf numFmtId="176" fontId="6" fillId="10" borderId="38" xfId="0" applyNumberFormat="1" applyFont="1" applyFill="1" applyBorder="1" applyAlignment="1">
      <alignment horizontal="center"/>
    </xf>
    <xf numFmtId="0" fontId="0" fillId="0" borderId="42" xfId="0" applyBorder="1"/>
    <xf numFmtId="165" fontId="20" fillId="5" borderId="7" xfId="0" applyNumberFormat="1" applyFont="1" applyFill="1" applyBorder="1" applyAlignment="1">
      <alignment horizontal="center"/>
    </xf>
    <xf numFmtId="168" fontId="30" fillId="0" borderId="7" xfId="0" applyNumberFormat="1" applyFont="1" applyBorder="1" applyAlignment="1">
      <alignment horizontal="center"/>
    </xf>
    <xf numFmtId="166" fontId="30" fillId="0" borderId="7" xfId="0" applyNumberFormat="1" applyFont="1" applyBorder="1" applyAlignment="1">
      <alignment horizontal="center"/>
    </xf>
    <xf numFmtId="171" fontId="20" fillId="5" borderId="7" xfId="0" applyNumberFormat="1" applyFont="1" applyFill="1" applyBorder="1" applyAlignment="1">
      <alignment horizontal="center"/>
    </xf>
    <xf numFmtId="166" fontId="20" fillId="5" borderId="40" xfId="0" applyNumberFormat="1" applyFont="1" applyFill="1" applyBorder="1" applyAlignment="1">
      <alignment horizontal="center"/>
    </xf>
    <xf numFmtId="0" fontId="0" fillId="0" borderId="24" xfId="0" applyBorder="1" applyAlignment="1">
      <alignment horizontal="center"/>
    </xf>
    <xf numFmtId="166" fontId="4" fillId="5" borderId="7" xfId="0" applyNumberFormat="1" applyFont="1" applyFill="1" applyBorder="1" applyAlignment="1">
      <alignment horizontal="center"/>
    </xf>
    <xf numFmtId="166" fontId="41" fillId="5" borderId="7" xfId="0" applyNumberFormat="1" applyFont="1" applyFill="1" applyBorder="1" applyAlignment="1">
      <alignment horizontal="center"/>
    </xf>
    <xf numFmtId="166" fontId="10" fillId="12" borderId="7" xfId="0" applyNumberFormat="1" applyFont="1" applyFill="1" applyBorder="1" applyAlignment="1">
      <alignment horizontal="center"/>
    </xf>
    <xf numFmtId="0" fontId="0" fillId="13" borderId="0" xfId="0" applyFill="1"/>
    <xf numFmtId="166" fontId="10" fillId="13" borderId="7" xfId="0" applyNumberFormat="1" applyFont="1" applyFill="1" applyBorder="1" applyAlignment="1">
      <alignment horizontal="center"/>
    </xf>
    <xf numFmtId="9" fontId="30" fillId="13" borderId="7" xfId="0" applyNumberFormat="1" applyFont="1" applyFill="1" applyBorder="1" applyAlignment="1">
      <alignment horizontal="center"/>
    </xf>
    <xf numFmtId="10" fontId="30" fillId="13" borderId="7" xfId="0" applyNumberFormat="1" applyFont="1" applyFill="1" applyBorder="1" applyAlignment="1">
      <alignment horizontal="center"/>
    </xf>
    <xf numFmtId="2" fontId="30" fillId="13" borderId="40" xfId="0" applyNumberFormat="1" applyFont="1" applyFill="1" applyBorder="1" applyAlignment="1">
      <alignment horizontal="center"/>
    </xf>
    <xf numFmtId="168" fontId="30" fillId="13" borderId="43" xfId="0" applyNumberFormat="1" applyFont="1" applyFill="1" applyBorder="1" applyAlignment="1">
      <alignment horizontal="center"/>
    </xf>
    <xf numFmtId="166" fontId="30" fillId="13" borderId="43" xfId="0" applyNumberFormat="1" applyFont="1" applyFill="1" applyBorder="1" applyAlignment="1">
      <alignment horizontal="center"/>
    </xf>
    <xf numFmtId="166" fontId="9" fillId="13" borderId="38" xfId="0" applyNumberFormat="1" applyFont="1" applyFill="1" applyBorder="1" applyAlignment="1">
      <alignment horizontal="center"/>
    </xf>
    <xf numFmtId="168" fontId="30" fillId="13" borderId="7" xfId="0" applyNumberFormat="1" applyFont="1" applyFill="1" applyBorder="1" applyAlignment="1">
      <alignment horizontal="center"/>
    </xf>
    <xf numFmtId="168" fontId="30" fillId="13" borderId="40" xfId="0" applyNumberFormat="1" applyFont="1" applyFill="1" applyBorder="1" applyAlignment="1">
      <alignment horizontal="center"/>
    </xf>
    <xf numFmtId="166" fontId="30" fillId="13" borderId="38" xfId="0" applyNumberFormat="1" applyFont="1" applyFill="1" applyBorder="1" applyAlignment="1">
      <alignment horizontal="center"/>
    </xf>
    <xf numFmtId="166" fontId="30" fillId="13" borderId="40" xfId="0" applyNumberFormat="1" applyFont="1" applyFill="1" applyBorder="1" applyAlignment="1">
      <alignment horizontal="center"/>
    </xf>
    <xf numFmtId="166" fontId="30" fillId="13" borderId="7" xfId="0" applyNumberFormat="1" applyFont="1" applyFill="1" applyBorder="1" applyAlignment="1">
      <alignment horizontal="center"/>
    </xf>
    <xf numFmtId="2" fontId="8" fillId="13" borderId="7" xfId="0" applyNumberFormat="1" applyFont="1" applyFill="1" applyBorder="1" applyAlignment="1">
      <alignment horizontal="center"/>
    </xf>
    <xf numFmtId="0" fontId="30" fillId="13" borderId="7" xfId="0" applyFont="1" applyFill="1" applyBorder="1" applyAlignment="1">
      <alignment horizontal="center"/>
    </xf>
    <xf numFmtId="2" fontId="30" fillId="13" borderId="7" xfId="0" applyNumberFormat="1" applyFont="1" applyFill="1" applyBorder="1" applyAlignment="1">
      <alignment horizontal="center"/>
    </xf>
    <xf numFmtId="14" fontId="8" fillId="0" borderId="39" xfId="0" applyNumberFormat="1" applyFont="1" applyBorder="1" applyAlignment="1">
      <alignment horizontal="center"/>
    </xf>
    <xf numFmtId="1" fontId="8" fillId="0" borderId="10" xfId="0" applyNumberFormat="1" applyFont="1" applyBorder="1" applyAlignment="1">
      <alignment horizontal="center"/>
    </xf>
    <xf numFmtId="1" fontId="8" fillId="0" borderId="41" xfId="0" applyNumberFormat="1" applyFont="1" applyBorder="1" applyAlignment="1">
      <alignment horizontal="center"/>
    </xf>
    <xf numFmtId="166" fontId="4" fillId="5" borderId="17" xfId="0" applyNumberFormat="1" applyFont="1" applyFill="1" applyBorder="1" applyAlignment="1">
      <alignment horizontal="center"/>
    </xf>
    <xf numFmtId="166" fontId="20" fillId="5" borderId="38" xfId="0" applyNumberFormat="1" applyFont="1" applyFill="1" applyBorder="1" applyAlignment="1">
      <alignment horizontal="center"/>
    </xf>
    <xf numFmtId="166" fontId="41" fillId="5" borderId="17" xfId="0" applyNumberFormat="1" applyFont="1" applyFill="1" applyBorder="1" applyAlignment="1">
      <alignment horizontal="center"/>
    </xf>
    <xf numFmtId="1" fontId="44" fillId="0" borderId="27" xfId="0" applyNumberFormat="1" applyFont="1" applyBorder="1" applyAlignment="1">
      <alignment horizontal="center"/>
    </xf>
    <xf numFmtId="0" fontId="47" fillId="0" borderId="0" xfId="0" applyFont="1"/>
    <xf numFmtId="0" fontId="18" fillId="0" borderId="28" xfId="0" applyFont="1" applyBorder="1"/>
    <xf numFmtId="14" fontId="8" fillId="0" borderId="10" xfId="0" applyNumberFormat="1" applyFont="1" applyBorder="1" applyAlignment="1">
      <alignment horizontal="center"/>
    </xf>
    <xf numFmtId="14" fontId="8" fillId="0" borderId="29" xfId="0" applyNumberFormat="1" applyFont="1" applyBorder="1" applyAlignment="1">
      <alignment horizontal="center"/>
    </xf>
    <xf numFmtId="1" fontId="8" fillId="0" borderId="39" xfId="0" applyNumberFormat="1" applyFont="1" applyBorder="1" applyAlignment="1">
      <alignment horizontal="center"/>
    </xf>
    <xf numFmtId="166" fontId="8" fillId="7" borderId="7" xfId="0" applyNumberFormat="1" applyFont="1" applyFill="1" applyBorder="1" applyAlignment="1">
      <alignment horizontal="center"/>
    </xf>
    <xf numFmtId="168" fontId="34" fillId="0" borderId="7" xfId="0" applyNumberFormat="1" applyFont="1" applyBorder="1" applyAlignment="1">
      <alignment horizontal="center"/>
    </xf>
    <xf numFmtId="1" fontId="34" fillId="0" borderId="7" xfId="0" applyNumberFormat="1" applyFont="1" applyBorder="1" applyAlignment="1">
      <alignment horizontal="center"/>
    </xf>
    <xf numFmtId="1" fontId="34" fillId="14" borderId="7" xfId="0" applyNumberFormat="1" applyFont="1" applyFill="1" applyBorder="1" applyAlignment="1">
      <alignment horizontal="center"/>
    </xf>
    <xf numFmtId="168" fontId="34" fillId="14" borderId="7" xfId="0" applyNumberFormat="1" applyFont="1" applyFill="1" applyBorder="1" applyAlignment="1">
      <alignment horizontal="center"/>
    </xf>
    <xf numFmtId="166" fontId="8" fillId="15" borderId="7" xfId="0" applyNumberFormat="1" applyFont="1" applyFill="1" applyBorder="1" applyAlignment="1">
      <alignment horizontal="center"/>
    </xf>
    <xf numFmtId="2" fontId="34" fillId="14" borderId="7" xfId="0" applyNumberFormat="1" applyFont="1" applyFill="1" applyBorder="1" applyAlignment="1">
      <alignment horizontal="center"/>
    </xf>
    <xf numFmtId="2" fontId="8" fillId="14" borderId="7" xfId="0" applyNumberFormat="1" applyFont="1" applyFill="1" applyBorder="1" applyAlignment="1">
      <alignment horizontal="center"/>
    </xf>
    <xf numFmtId="165" fontId="8" fillId="14" borderId="7" xfId="0" applyNumberFormat="1" applyFont="1" applyFill="1" applyBorder="1" applyAlignment="1">
      <alignment horizontal="center"/>
    </xf>
    <xf numFmtId="166" fontId="8" fillId="0" borderId="7" xfId="0" applyNumberFormat="1" applyFont="1" applyBorder="1" applyAlignment="1">
      <alignment horizontal="center"/>
    </xf>
    <xf numFmtId="166" fontId="8" fillId="14" borderId="7" xfId="0" applyNumberFormat="1" applyFont="1" applyFill="1" applyBorder="1" applyAlignment="1">
      <alignment horizontal="center"/>
    </xf>
    <xf numFmtId="0" fontId="0" fillId="14" borderId="7" xfId="0" applyFill="1" applyBorder="1"/>
    <xf numFmtId="166" fontId="9" fillId="14" borderId="7" xfId="0" applyNumberFormat="1" applyFont="1" applyFill="1" applyBorder="1" applyAlignment="1">
      <alignment horizontal="center"/>
    </xf>
    <xf numFmtId="166" fontId="6" fillId="0" borderId="15" xfId="0" applyNumberFormat="1" applyFont="1" applyBorder="1" applyAlignment="1">
      <alignment horizontal="center"/>
    </xf>
    <xf numFmtId="0" fontId="0" fillId="14" borderId="38" xfId="0" applyFill="1" applyBorder="1"/>
    <xf numFmtId="0" fontId="0" fillId="0" borderId="46" xfId="0" applyBorder="1"/>
    <xf numFmtId="0" fontId="49" fillId="14" borderId="7" xfId="0" applyFont="1" applyFill="1" applyBorder="1" applyAlignment="1">
      <alignment horizontal="center"/>
    </xf>
    <xf numFmtId="168" fontId="49" fillId="14" borderId="7" xfId="0" applyNumberFormat="1" applyFont="1" applyFill="1" applyBorder="1" applyAlignment="1">
      <alignment horizontal="center"/>
    </xf>
    <xf numFmtId="166" fontId="26" fillId="0" borderId="1" xfId="0" applyNumberFormat="1" applyFont="1" applyBorder="1" applyAlignment="1">
      <alignment horizontal="center"/>
    </xf>
    <xf numFmtId="165" fontId="10" fillId="14" borderId="7" xfId="0" applyNumberFormat="1" applyFont="1" applyFill="1" applyBorder="1" applyAlignment="1">
      <alignment horizontal="center"/>
    </xf>
    <xf numFmtId="10" fontId="0" fillId="14" borderId="27" xfId="0" applyNumberFormat="1" applyFill="1" applyBorder="1" applyAlignment="1">
      <alignment horizontal="center"/>
    </xf>
    <xf numFmtId="10" fontId="6" fillId="14" borderId="27" xfId="0" applyNumberFormat="1" applyFont="1" applyFill="1" applyBorder="1" applyAlignment="1">
      <alignment horizontal="center"/>
    </xf>
    <xf numFmtId="166" fontId="6" fillId="14" borderId="27" xfId="0" applyNumberFormat="1" applyFont="1" applyFill="1" applyBorder="1" applyAlignment="1">
      <alignment horizontal="center"/>
    </xf>
    <xf numFmtId="172" fontId="0" fillId="14" borderId="27" xfId="0" applyNumberFormat="1" applyFill="1" applyBorder="1" applyAlignment="1">
      <alignment horizontal="center"/>
    </xf>
    <xf numFmtId="166" fontId="0" fillId="14" borderId="27" xfId="0" applyNumberFormat="1" applyFill="1" applyBorder="1" applyAlignment="1">
      <alignment horizontal="center"/>
    </xf>
    <xf numFmtId="164" fontId="50" fillId="14" borderId="27" xfId="0" applyNumberFormat="1" applyFont="1" applyFill="1" applyBorder="1" applyAlignment="1">
      <alignment horizontal="center"/>
    </xf>
    <xf numFmtId="0" fontId="0" fillId="0" borderId="1" xfId="0" applyBorder="1" applyAlignment="1">
      <alignment horizontal="center"/>
    </xf>
    <xf numFmtId="0" fontId="26" fillId="3" borderId="18" xfId="0" applyFont="1" applyFill="1" applyBorder="1"/>
    <xf numFmtId="0" fontId="51" fillId="0" borderId="20" xfId="0" applyFont="1" applyBorder="1"/>
    <xf numFmtId="0" fontId="51" fillId="0" borderId="21" xfId="0" applyFont="1" applyBorder="1"/>
    <xf numFmtId="0" fontId="51" fillId="0" borderId="22" xfId="0" applyFont="1" applyBorder="1"/>
    <xf numFmtId="0" fontId="26" fillId="3" borderId="0" xfId="0" applyFont="1" applyFill="1"/>
    <xf numFmtId="0" fontId="36" fillId="3" borderId="0" xfId="0" applyFont="1" applyFill="1"/>
    <xf numFmtId="0" fontId="51" fillId="8" borderId="0" xfId="0" applyFont="1" applyFill="1"/>
    <xf numFmtId="1" fontId="26" fillId="0" borderId="0" xfId="0" applyNumberFormat="1" applyFont="1" applyAlignment="1">
      <alignment horizontal="center"/>
    </xf>
    <xf numFmtId="166" fontId="44" fillId="10" borderId="47" xfId="0" applyNumberFormat="1" applyFont="1" applyFill="1" applyBorder="1" applyAlignment="1">
      <alignment horizontal="center" vertical="center"/>
    </xf>
    <xf numFmtId="166" fontId="26" fillId="0" borderId="1" xfId="0" applyNumberFormat="1" applyFont="1" applyBorder="1" applyAlignment="1">
      <alignment horizontal="center" vertical="center"/>
    </xf>
    <xf numFmtId="1" fontId="44" fillId="10" borderId="47" xfId="0" applyNumberFormat="1" applyFont="1" applyFill="1" applyBorder="1" applyAlignment="1">
      <alignment horizontal="center"/>
    </xf>
    <xf numFmtId="1" fontId="26" fillId="0" borderId="1" xfId="0" applyNumberFormat="1" applyFont="1" applyBorder="1" applyAlignment="1">
      <alignment horizontal="center"/>
    </xf>
    <xf numFmtId="171" fontId="44" fillId="10" borderId="47" xfId="0" applyNumberFormat="1" applyFont="1" applyFill="1" applyBorder="1" applyAlignment="1">
      <alignment horizontal="center"/>
    </xf>
    <xf numFmtId="166" fontId="44" fillId="10" borderId="47" xfId="0" applyNumberFormat="1" applyFont="1" applyFill="1" applyBorder="1" applyAlignment="1">
      <alignment horizontal="center"/>
    </xf>
    <xf numFmtId="170" fontId="44" fillId="10" borderId="47" xfId="0" applyNumberFormat="1" applyFont="1" applyFill="1" applyBorder="1" applyAlignment="1">
      <alignment horizontal="center"/>
    </xf>
    <xf numFmtId="171" fontId="26" fillId="0" borderId="1" xfId="0" applyNumberFormat="1" applyFont="1" applyBorder="1" applyAlignment="1">
      <alignment horizontal="center"/>
    </xf>
    <xf numFmtId="170" fontId="26" fillId="0" borderId="1" xfId="0" applyNumberFormat="1" applyFont="1" applyBorder="1" applyAlignment="1">
      <alignment horizontal="center"/>
    </xf>
    <xf numFmtId="168" fontId="44" fillId="10" borderId="47" xfId="0" applyNumberFormat="1" applyFont="1" applyFill="1" applyBorder="1" applyAlignment="1">
      <alignment horizontal="center"/>
    </xf>
    <xf numFmtId="168" fontId="26" fillId="0" borderId="1" xfId="0" applyNumberFormat="1" applyFont="1" applyBorder="1" applyAlignment="1">
      <alignment horizontal="center"/>
    </xf>
    <xf numFmtId="0" fontId="44" fillId="10" borderId="47" xfId="0" applyFont="1" applyFill="1" applyBorder="1" applyAlignment="1">
      <alignment horizontal="center"/>
    </xf>
    <xf numFmtId="0" fontId="26" fillId="0" borderId="1" xfId="0" applyFont="1" applyBorder="1" applyAlignment="1">
      <alignment horizontal="center"/>
    </xf>
    <xf numFmtId="2" fontId="44" fillId="10" borderId="47" xfId="0" applyNumberFormat="1" applyFont="1" applyFill="1" applyBorder="1" applyAlignment="1">
      <alignment horizontal="center"/>
    </xf>
    <xf numFmtId="2" fontId="26" fillId="0" borderId="1" xfId="0" applyNumberFormat="1" applyFont="1" applyBorder="1" applyAlignment="1">
      <alignment horizontal="center"/>
    </xf>
    <xf numFmtId="164" fontId="44" fillId="10" borderId="47" xfId="0" applyNumberFormat="1" applyFont="1" applyFill="1" applyBorder="1" applyAlignment="1">
      <alignment horizontal="center"/>
    </xf>
    <xf numFmtId="164" fontId="26" fillId="0" borderId="1" xfId="0" applyNumberFormat="1" applyFont="1" applyBorder="1" applyAlignment="1">
      <alignment horizontal="center"/>
    </xf>
    <xf numFmtId="9" fontId="44" fillId="10" borderId="47" xfId="0" applyNumberFormat="1" applyFont="1" applyFill="1" applyBorder="1" applyAlignment="1">
      <alignment horizontal="center"/>
    </xf>
    <xf numFmtId="9" fontId="26" fillId="0" borderId="1" xfId="0" applyNumberFormat="1" applyFont="1" applyBorder="1" applyAlignment="1">
      <alignment horizontal="center"/>
    </xf>
    <xf numFmtId="166" fontId="8" fillId="0" borderId="10" xfId="0" applyNumberFormat="1" applyFont="1" applyBorder="1" applyAlignment="1">
      <alignment horizontal="center"/>
    </xf>
    <xf numFmtId="0" fontId="36" fillId="0" borderId="0" xfId="0" applyFont="1"/>
    <xf numFmtId="0" fontId="52" fillId="0" borderId="0" xfId="0" applyFont="1"/>
    <xf numFmtId="0" fontId="37" fillId="8" borderId="0" xfId="0" applyFont="1" applyFill="1" applyAlignment="1">
      <alignment horizontal="center"/>
    </xf>
    <xf numFmtId="0" fontId="39" fillId="3" borderId="0" xfId="0" applyFont="1" applyFill="1" applyAlignment="1">
      <alignment horizontal="center"/>
    </xf>
    <xf numFmtId="177" fontId="0" fillId="0" borderId="0" xfId="2" applyNumberFormat="1" applyFont="1"/>
    <xf numFmtId="165" fontId="10" fillId="0" borderId="1" xfId="0" applyNumberFormat="1" applyFont="1" applyBorder="1" applyAlignment="1">
      <alignment horizontal="center"/>
    </xf>
    <xf numFmtId="0" fontId="36" fillId="0" borderId="1" xfId="0" applyFont="1" applyBorder="1"/>
    <xf numFmtId="178" fontId="8" fillId="4" borderId="7" xfId="0" applyNumberFormat="1" applyFont="1" applyFill="1" applyBorder="1" applyAlignment="1">
      <alignment horizontal="center"/>
    </xf>
    <xf numFmtId="0" fontId="2" fillId="16" borderId="0" xfId="3" applyFill="1"/>
    <xf numFmtId="0" fontId="2" fillId="16" borderId="0" xfId="3" applyFill="1" applyAlignment="1">
      <alignment horizontal="center"/>
    </xf>
    <xf numFmtId="0" fontId="55" fillId="16" borderId="0" xfId="3" applyFont="1" applyFill="1"/>
    <xf numFmtId="0" fontId="2" fillId="17" borderId="12" xfId="3" applyFill="1" applyBorder="1"/>
    <xf numFmtId="0" fontId="56" fillId="16" borderId="0" xfId="3" applyFont="1" applyFill="1"/>
    <xf numFmtId="0" fontId="2" fillId="18" borderId="0" xfId="3" applyFill="1"/>
    <xf numFmtId="0" fontId="54" fillId="18" borderId="0" xfId="3" applyFont="1" applyFill="1"/>
    <xf numFmtId="0" fontId="54" fillId="18" borderId="0" xfId="3" applyFont="1" applyFill="1" applyAlignment="1">
      <alignment horizontal="left"/>
    </xf>
    <xf numFmtId="14" fontId="2" fillId="18" borderId="0" xfId="3" applyNumberFormat="1" applyFill="1"/>
    <xf numFmtId="0" fontId="58" fillId="18" borderId="0" xfId="4" applyFill="1"/>
    <xf numFmtId="0" fontId="59" fillId="0" borderId="0" xfId="0" applyFont="1"/>
    <xf numFmtId="164" fontId="8" fillId="0" borderId="1" xfId="0" applyNumberFormat="1" applyFont="1" applyBorder="1" applyAlignment="1">
      <alignment horizontal="center"/>
    </xf>
    <xf numFmtId="2" fontId="60" fillId="11" borderId="1" xfId="0" applyNumberFormat="1" applyFont="1" applyFill="1" applyBorder="1" applyAlignment="1">
      <alignment horizontal="center"/>
    </xf>
    <xf numFmtId="166" fontId="60" fillId="11" borderId="1" xfId="0" applyNumberFormat="1" applyFont="1" applyFill="1" applyBorder="1" applyAlignment="1">
      <alignment horizontal="center"/>
    </xf>
    <xf numFmtId="2" fontId="8" fillId="4" borderId="1" xfId="0" applyNumberFormat="1" applyFont="1" applyFill="1" applyBorder="1" applyAlignment="1">
      <alignment horizontal="center"/>
    </xf>
    <xf numFmtId="168" fontId="8" fillId="4" borderId="1" xfId="0" applyNumberFormat="1" applyFont="1" applyFill="1" applyBorder="1" applyAlignment="1">
      <alignment horizontal="center"/>
    </xf>
    <xf numFmtId="0" fontId="0" fillId="3" borderId="0" xfId="0" applyFill="1" applyAlignment="1">
      <alignment horizontal="center"/>
    </xf>
    <xf numFmtId="1" fontId="61" fillId="11" borderId="1" xfId="0" applyNumberFormat="1" applyFont="1" applyFill="1" applyBorder="1" applyAlignment="1">
      <alignment horizontal="center"/>
    </xf>
    <xf numFmtId="1" fontId="62" fillId="11" borderId="1" xfId="0" applyNumberFormat="1" applyFont="1" applyFill="1" applyBorder="1" applyAlignment="1">
      <alignment horizontal="center"/>
    </xf>
    <xf numFmtId="9" fontId="62" fillId="11" borderId="1" xfId="0" applyNumberFormat="1" applyFont="1" applyFill="1" applyBorder="1" applyAlignment="1">
      <alignment horizontal="center"/>
    </xf>
    <xf numFmtId="0" fontId="62" fillId="9" borderId="1" xfId="0" applyFont="1" applyFill="1" applyBorder="1" applyAlignment="1">
      <alignment horizontal="center"/>
    </xf>
    <xf numFmtId="0" fontId="63" fillId="0" borderId="0" xfId="0" applyFont="1"/>
    <xf numFmtId="0" fontId="65" fillId="10" borderId="0" xfId="0" applyFont="1" applyFill="1" applyAlignment="1">
      <alignment horizontal="center"/>
    </xf>
    <xf numFmtId="0" fontId="67" fillId="0" borderId="0" xfId="5" applyFont="1"/>
    <xf numFmtId="0" fontId="1" fillId="0" borderId="0" xfId="5" applyFont="1"/>
    <xf numFmtId="179" fontId="69" fillId="0" borderId="0" xfId="5" applyNumberFormat="1" applyFont="1"/>
    <xf numFmtId="179" fontId="1" fillId="0" borderId="0" xfId="5" applyNumberFormat="1" applyFont="1"/>
    <xf numFmtId="169" fontId="8" fillId="10" borderId="32" xfId="0" applyNumberFormat="1" applyFont="1" applyFill="1" applyBorder="1" applyAlignment="1">
      <alignment horizontal="center"/>
    </xf>
    <xf numFmtId="175" fontId="4" fillId="10" borderId="32" xfId="0" applyNumberFormat="1" applyFont="1" applyFill="1" applyBorder="1" applyAlignment="1">
      <alignment horizontal="center"/>
    </xf>
    <xf numFmtId="0" fontId="4" fillId="0" borderId="16" xfId="0" applyFont="1" applyBorder="1"/>
    <xf numFmtId="0" fontId="4" fillId="0" borderId="12" xfId="0" applyFont="1" applyBorder="1"/>
    <xf numFmtId="0" fontId="64" fillId="8" borderId="0" xfId="6" applyFont="1" applyFill="1"/>
    <xf numFmtId="0" fontId="1" fillId="0" borderId="0" xfId="6"/>
    <xf numFmtId="0" fontId="48" fillId="0" borderId="0" xfId="6" applyFont="1"/>
    <xf numFmtId="0" fontId="25" fillId="0" borderId="0" xfId="0" applyFont="1"/>
    <xf numFmtId="0" fontId="25" fillId="8" borderId="0" xfId="0" applyFont="1" applyFill="1"/>
    <xf numFmtId="0" fontId="26" fillId="0" borderId="0" xfId="0" applyFont="1" applyAlignment="1">
      <alignment vertical="center"/>
    </xf>
    <xf numFmtId="0" fontId="27" fillId="0" borderId="0" xfId="0" applyFont="1" applyAlignment="1">
      <alignment horizontal="center" vertical="center"/>
    </xf>
    <xf numFmtId="0" fontId="27" fillId="0" borderId="0" xfId="0" applyFont="1" applyAlignment="1">
      <alignment horizontal="center"/>
    </xf>
    <xf numFmtId="0" fontId="27" fillId="0" borderId="0" xfId="0" applyFont="1"/>
    <xf numFmtId="14" fontId="26" fillId="0" borderId="13" xfId="0" applyNumberFormat="1" applyFont="1" applyBorder="1"/>
    <xf numFmtId="14" fontId="26" fillId="0" borderId="14" xfId="0" applyNumberFormat="1" applyFont="1" applyBorder="1"/>
    <xf numFmtId="14" fontId="26" fillId="0" borderId="10" xfId="0" applyNumberFormat="1" applyFont="1" applyBorder="1"/>
    <xf numFmtId="14" fontId="26" fillId="0" borderId="0" xfId="0" applyNumberFormat="1" applyFont="1"/>
    <xf numFmtId="1" fontId="26" fillId="0" borderId="13" xfId="0" applyNumberFormat="1" applyFont="1" applyBorder="1"/>
    <xf numFmtId="1" fontId="26" fillId="0" borderId="14" xfId="0" applyNumberFormat="1" applyFont="1" applyBorder="1"/>
    <xf numFmtId="1" fontId="26" fillId="0" borderId="11" xfId="0" applyNumberFormat="1" applyFont="1" applyBorder="1"/>
    <xf numFmtId="1" fontId="26" fillId="0" borderId="8" xfId="0" applyNumberFormat="1" applyFont="1" applyBorder="1"/>
    <xf numFmtId="1" fontId="26" fillId="0" borderId="0" xfId="0" applyNumberFormat="1" applyFont="1"/>
    <xf numFmtId="3" fontId="26" fillId="10" borderId="0" xfId="0" applyNumberFormat="1" applyFont="1" applyFill="1" applyAlignment="1">
      <alignment horizontal="center"/>
    </xf>
    <xf numFmtId="166" fontId="26" fillId="10" borderId="0" xfId="0" applyNumberFormat="1" applyFont="1" applyFill="1"/>
    <xf numFmtId="2" fontId="26" fillId="10" borderId="0" xfId="0" applyNumberFormat="1" applyFont="1" applyFill="1"/>
    <xf numFmtId="166" fontId="71" fillId="10" borderId="31" xfId="0" applyNumberFormat="1" applyFont="1" applyFill="1" applyBorder="1" applyAlignment="1">
      <alignment horizontal="center"/>
    </xf>
    <xf numFmtId="10" fontId="71" fillId="10" borderId="32" xfId="0" applyNumberFormat="1" applyFont="1" applyFill="1" applyBorder="1" applyAlignment="1">
      <alignment horizontal="center"/>
    </xf>
    <xf numFmtId="1" fontId="71" fillId="10" borderId="32" xfId="0" applyNumberFormat="1" applyFont="1" applyFill="1" applyBorder="1" applyAlignment="1">
      <alignment horizontal="center"/>
    </xf>
    <xf numFmtId="174" fontId="71" fillId="10" borderId="33" xfId="0" applyNumberFormat="1" applyFont="1" applyFill="1" applyBorder="1" applyAlignment="1">
      <alignment horizontal="center"/>
    </xf>
    <xf numFmtId="166" fontId="71" fillId="10" borderId="32" xfId="0" applyNumberFormat="1" applyFont="1" applyFill="1" applyBorder="1" applyAlignment="1">
      <alignment horizontal="center"/>
    </xf>
    <xf numFmtId="2" fontId="71" fillId="10" borderId="32" xfId="0" applyNumberFormat="1" applyFont="1" applyFill="1" applyBorder="1" applyAlignment="1">
      <alignment horizontal="center"/>
    </xf>
    <xf numFmtId="2" fontId="71" fillId="10" borderId="33" xfId="0" applyNumberFormat="1" applyFont="1" applyFill="1" applyBorder="1" applyAlignment="1">
      <alignment horizontal="center"/>
    </xf>
    <xf numFmtId="3" fontId="71" fillId="10" borderId="31" xfId="0" applyNumberFormat="1" applyFont="1" applyFill="1" applyBorder="1" applyAlignment="1">
      <alignment horizontal="center"/>
    </xf>
    <xf numFmtId="3" fontId="71" fillId="10" borderId="32" xfId="0" applyNumberFormat="1" applyFont="1" applyFill="1" applyBorder="1" applyAlignment="1">
      <alignment horizontal="center"/>
    </xf>
    <xf numFmtId="166" fontId="71" fillId="10" borderId="33" xfId="0" applyNumberFormat="1" applyFont="1" applyFill="1" applyBorder="1" applyAlignment="1">
      <alignment horizontal="center"/>
    </xf>
    <xf numFmtId="0" fontId="4" fillId="10" borderId="48" xfId="0" applyFont="1" applyFill="1" applyBorder="1" applyAlignment="1">
      <alignment horizontal="left"/>
    </xf>
    <xf numFmtId="9" fontId="8" fillId="7" borderId="7" xfId="2" applyFont="1" applyFill="1" applyBorder="1" applyAlignment="1">
      <alignment horizontal="center"/>
    </xf>
    <xf numFmtId="166" fontId="26" fillId="14" borderId="27" xfId="0" applyNumberFormat="1" applyFont="1" applyFill="1" applyBorder="1" applyAlignment="1">
      <alignment horizontal="center"/>
    </xf>
    <xf numFmtId="9" fontId="26" fillId="14" borderId="27" xfId="2" applyFont="1" applyFill="1" applyBorder="1" applyAlignment="1">
      <alignment horizontal="center"/>
    </xf>
    <xf numFmtId="169" fontId="0" fillId="0" borderId="0" xfId="0" applyNumberFormat="1"/>
    <xf numFmtId="9" fontId="65" fillId="0" borderId="0" xfId="2" applyFont="1"/>
    <xf numFmtId="0" fontId="66" fillId="0" borderId="0" xfId="0" applyFont="1"/>
    <xf numFmtId="1" fontId="44" fillId="0" borderId="0" xfId="0" applyNumberFormat="1" applyFont="1" applyAlignment="1">
      <alignment horizontal="center"/>
    </xf>
    <xf numFmtId="0" fontId="26" fillId="10" borderId="0" xfId="6" applyFont="1" applyFill="1" applyAlignment="1">
      <alignment horizontal="left" vertical="top" wrapText="1"/>
    </xf>
    <xf numFmtId="0" fontId="57" fillId="18" borderId="0" xfId="3" applyFont="1" applyFill="1" applyAlignment="1">
      <alignment horizontal="center" vertical="center"/>
    </xf>
    <xf numFmtId="0" fontId="1" fillId="0" borderId="0" xfId="5" applyFont="1" applyAlignment="1">
      <alignment horizontal="center"/>
    </xf>
    <xf numFmtId="0" fontId="39" fillId="3" borderId="0" xfId="0" applyFont="1" applyFill="1" applyAlignment="1">
      <alignment horizontal="center"/>
    </xf>
    <xf numFmtId="0" fontId="68" fillId="0" borderId="0" xfId="5" applyFont="1" applyAlignment="1">
      <alignment horizontal="center" vertical="center"/>
    </xf>
    <xf numFmtId="0" fontId="70" fillId="18" borderId="0" xfId="5" applyFont="1" applyFill="1" applyAlignment="1">
      <alignment horizontal="center" vertical="center" wrapText="1"/>
    </xf>
    <xf numFmtId="0" fontId="1" fillId="0" borderId="0" xfId="5" applyFont="1" applyAlignment="1">
      <alignment horizontal="left" vertical="center"/>
    </xf>
    <xf numFmtId="10" fontId="1" fillId="0" borderId="0" xfId="5" applyNumberFormat="1" applyFont="1" applyAlignment="1">
      <alignment horizontal="right" vertical="center"/>
    </xf>
    <xf numFmtId="9" fontId="1" fillId="0" borderId="0" xfId="5" applyNumberFormat="1" applyFont="1" applyAlignment="1">
      <alignment horizontal="left" wrapText="1"/>
    </xf>
    <xf numFmtId="9" fontId="1" fillId="0" borderId="0" xfId="5" applyNumberFormat="1" applyFont="1" applyAlignment="1">
      <alignment horizontal="left"/>
    </xf>
    <xf numFmtId="0" fontId="45" fillId="0" borderId="25" xfId="0" applyFont="1" applyBorder="1" applyAlignment="1">
      <alignment horizontal="left"/>
    </xf>
    <xf numFmtId="0" fontId="45" fillId="0" borderId="0" xfId="0" applyFont="1" applyAlignment="1">
      <alignment horizontal="left"/>
    </xf>
    <xf numFmtId="0" fontId="45" fillId="0" borderId="0" xfId="0" applyFont="1" applyAlignment="1">
      <alignment horizontal="left" wrapText="1"/>
    </xf>
    <xf numFmtId="0" fontId="42" fillId="3" borderId="45" xfId="0" applyFont="1" applyFill="1" applyBorder="1" applyAlignment="1">
      <alignment horizontal="center"/>
    </xf>
    <xf numFmtId="0" fontId="42" fillId="3" borderId="2" xfId="0" applyFont="1" applyFill="1" applyBorder="1" applyAlignment="1">
      <alignment horizontal="center"/>
    </xf>
    <xf numFmtId="0" fontId="43" fillId="8" borderId="25" xfId="0" applyFont="1" applyFill="1" applyBorder="1" applyAlignment="1">
      <alignment horizontal="center"/>
    </xf>
    <xf numFmtId="0" fontId="46" fillId="0" borderId="44" xfId="0" applyFont="1" applyBorder="1" applyAlignment="1">
      <alignment horizontal="center"/>
    </xf>
    <xf numFmtId="0" fontId="45" fillId="0" borderId="35" xfId="0" applyFont="1" applyBorder="1" applyAlignment="1">
      <alignment horizontal="left"/>
    </xf>
    <xf numFmtId="0" fontId="45" fillId="0" borderId="0" xfId="0" applyFont="1" applyAlignment="1">
      <alignment horizontal="center"/>
    </xf>
    <xf numFmtId="0" fontId="45" fillId="0" borderId="35" xfId="0" applyFont="1" applyBorder="1" applyAlignment="1">
      <alignment horizontal="center"/>
    </xf>
    <xf numFmtId="0" fontId="19" fillId="3" borderId="0" xfId="0" applyFont="1" applyFill="1" applyAlignment="1">
      <alignment horizontal="center" wrapText="1"/>
    </xf>
    <xf numFmtId="0" fontId="1" fillId="10" borderId="0" xfId="6" applyFill="1" applyAlignment="1"/>
    <xf numFmtId="0" fontId="0" fillId="0" borderId="19" xfId="0" applyBorder="1" applyAlignment="1"/>
    <xf numFmtId="0" fontId="0" fillId="0" borderId="26" xfId="0" applyBorder="1" applyAlignment="1"/>
    <xf numFmtId="0" fontId="4" fillId="0" borderId="0" xfId="0" applyFont="1" applyAlignment="1"/>
    <xf numFmtId="0" fontId="0" fillId="0" borderId="25" xfId="0" applyBorder="1" applyAlignment="1"/>
  </cellXfs>
  <cellStyles count="7">
    <cellStyle name="10. Flag" xfId="1" xr:uid="{00000000-0005-0000-0000-000001000000}"/>
    <cellStyle name="Hyperlink 2" xfId="4" xr:uid="{128979CF-239E-4420-9C75-6A1EBE95B85F}"/>
    <cellStyle name="Normal" xfId="0" builtinId="0"/>
    <cellStyle name="Normal 2" xfId="3" xr:uid="{EACE8F7B-BE82-4E4E-A8A7-37B8F6D7BF0D}"/>
    <cellStyle name="Normal 2 2" xfId="5" xr:uid="{ED31A5ED-40DB-41E6-913D-DAD9CAF9C76A}"/>
    <cellStyle name="Normal 3" xfId="6" xr:uid="{B457A38E-0099-4200-A0BB-EE34484038A4}"/>
    <cellStyle name="Per cent" xfId="2" builtinId="5"/>
  </cellStyles>
  <dxfs count="8">
    <dxf>
      <font>
        <b/>
        <color rgb="FFFFFFFF"/>
      </font>
      <fill>
        <patternFill>
          <bgColor theme="6"/>
        </patternFill>
      </fill>
    </dxf>
    <dxf>
      <font>
        <b/>
        <color rgb="FFFFFFFF"/>
      </font>
      <fill>
        <patternFill>
          <bgColor theme="6"/>
        </patternFill>
      </fill>
    </dxf>
    <dxf>
      <font>
        <b/>
        <color rgb="FFFFFFFF"/>
      </font>
      <fill>
        <patternFill>
          <bgColor theme="6"/>
        </patternFill>
      </fill>
    </dxf>
    <dxf>
      <font>
        <b/>
        <color rgb="FFFFFFFF"/>
      </font>
      <fill>
        <patternFill>
          <bgColor theme="6"/>
        </patternFill>
      </fill>
    </dxf>
    <dxf>
      <font>
        <b/>
        <color rgb="FFFFFFFF"/>
      </font>
      <fill>
        <patternFill>
          <bgColor theme="6"/>
        </patternFill>
      </fill>
    </dxf>
    <dxf>
      <font>
        <b/>
        <color rgb="FFFFFFFF"/>
      </font>
      <fill>
        <patternFill>
          <bgColor theme="6"/>
        </patternFill>
      </fill>
    </dxf>
    <dxf>
      <font>
        <b/>
        <color rgb="FFFFFFFF"/>
      </font>
      <fill>
        <patternFill>
          <bgColor theme="6"/>
        </patternFill>
      </fill>
    </dxf>
    <dxf>
      <font>
        <b/>
        <color rgb="FFFFFFFF"/>
      </font>
      <fill>
        <patternFill>
          <bgColor theme="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B7791F"/>
      <rgbColor rgb="FF800080"/>
      <rgbColor rgb="FF007635"/>
      <rgbColor rgb="FFDDD9C3"/>
      <rgbColor rgb="FF7F7F7F"/>
      <rgbColor rgb="FF9999FF"/>
      <rgbColor rgb="FF993366"/>
      <rgbColor rgb="FFF5F5F5"/>
      <rgbColor rgb="FFDAEEF3"/>
      <rgbColor rgb="FF660066"/>
      <rgbColor rgb="FFFF8080"/>
      <rgbColor rgb="FF0066CC"/>
      <rgbColor rgb="FFD9D9D9"/>
      <rgbColor rgb="FF000080"/>
      <rgbColor rgb="FFFF00FF"/>
      <rgbColor rgb="FFFFFF00"/>
      <rgbColor rgb="FF00FFFF"/>
      <rgbColor rgb="FF800080"/>
      <rgbColor rgb="FF800000"/>
      <rgbColor rgb="FF01615C"/>
      <rgbColor rgb="FF0000CC"/>
      <rgbColor rgb="FF00CCFF"/>
      <rgbColor rgb="FFF2F2F2"/>
      <rgbColor rgb="FFCCFFCC"/>
      <rgbColor rgb="FFFDEADA"/>
      <rgbColor rgb="FFB7DEE8"/>
      <rgbColor rgb="FFFF99CC"/>
      <rgbColor rgb="FFCC99FF"/>
      <rgbColor rgb="FFFFCC99"/>
      <rgbColor rgb="FF4F81BD"/>
      <rgbColor rgb="FF00B050"/>
      <rgbColor rgb="FF9BBB59"/>
      <rgbColor rgb="FFFFCC00"/>
      <rgbColor rgb="FFFF9900"/>
      <rgbColor rgb="FFFF6600"/>
      <rgbColor rgb="FF595959"/>
      <rgbColor rgb="FF969696"/>
      <rgbColor rgb="FF007038"/>
      <rgbColor rgb="FF31859C"/>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mruColors>
      <color rgb="FF003DB8"/>
      <color rgb="FF00A200"/>
      <color rgb="FF007E00"/>
      <color rgb="FFA7E997"/>
      <color rgb="FFCEF6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spcFirstLastPara="1" vertOverflow="ellipsis" vert="horz" wrap="square" anchor="ctr" anchorCtr="1"/>
          <a:lstStyle/>
          <a:p>
            <a:pPr>
              <a:defRPr sz="1800" b="1" i="0" strike="noStrike" kern="1200" spc="0" baseline="0">
                <a:solidFill>
                  <a:schemeClr val="tx1"/>
                </a:solidFill>
                <a:latin typeface="+mn-lt"/>
                <a:ea typeface="+mn-ea"/>
                <a:cs typeface="+mn-cs"/>
              </a:defRPr>
            </a:pPr>
            <a:r>
              <a:rPr lang="de-DE" sz="1800" b="1">
                <a:solidFill>
                  <a:schemeClr val="tx1"/>
                </a:solidFill>
              </a:rPr>
              <a:t>Lift</a:t>
            </a:r>
          </a:p>
        </c:rich>
      </c:tx>
      <c:overlay val="0"/>
      <c:spPr>
        <a:noFill/>
        <a:ln>
          <a:noFill/>
          <a:prstDash val="solid"/>
        </a:ln>
      </c:spPr>
    </c:title>
    <c:autoTitleDeleted val="0"/>
    <c:plotArea>
      <c:layout/>
      <c:pieChart>
        <c:varyColors val="1"/>
        <c:ser>
          <c:idx val="0"/>
          <c:order val="0"/>
          <c:spPr>
            <a:ln>
              <a:prstDash val="solid"/>
            </a:ln>
          </c:spPr>
          <c:dPt>
            <c:idx val="0"/>
            <c:bubble3D val="0"/>
            <c:spPr>
              <a:solidFill>
                <a:srgbClr val="A7E997"/>
              </a:solidFill>
              <a:ln w="19050">
                <a:solidFill>
                  <a:schemeClr val="lt1"/>
                </a:solidFill>
                <a:prstDash val="solid"/>
              </a:ln>
            </c:spPr>
            <c:extLst>
              <c:ext xmlns:c16="http://schemas.microsoft.com/office/drawing/2014/chart" uri="{C3380CC4-5D6E-409C-BE32-E72D297353CC}">
                <c16:uniqueId val="{00000001-A3F6-424E-AB42-6BB268016B11}"/>
              </c:ext>
            </c:extLst>
          </c:dPt>
          <c:dPt>
            <c:idx val="1"/>
            <c:bubble3D val="0"/>
            <c:spPr>
              <a:solidFill>
                <a:srgbClr val="007E00"/>
              </a:solidFill>
              <a:ln w="19050">
                <a:solidFill>
                  <a:schemeClr val="lt1"/>
                </a:solidFill>
                <a:prstDash val="solid"/>
              </a:ln>
            </c:spPr>
            <c:extLst>
              <c:ext xmlns:c16="http://schemas.microsoft.com/office/drawing/2014/chart" uri="{C3380CC4-5D6E-409C-BE32-E72D297353CC}">
                <c16:uniqueId val="{00000003-A3F6-424E-AB42-6BB268016B11}"/>
              </c:ext>
            </c:extLst>
          </c:dPt>
          <c:dPt>
            <c:idx val="2"/>
            <c:bubble3D val="0"/>
            <c:spPr>
              <a:solidFill>
                <a:schemeClr val="tx1"/>
              </a:solidFill>
              <a:ln w="19050">
                <a:solidFill>
                  <a:schemeClr val="lt1"/>
                </a:solidFill>
                <a:prstDash val="solid"/>
              </a:ln>
            </c:spPr>
            <c:extLst>
              <c:ext xmlns:c16="http://schemas.microsoft.com/office/drawing/2014/chart" uri="{C3380CC4-5D6E-409C-BE32-E72D297353CC}">
                <c16:uniqueId val="{00000005-A3F6-424E-AB42-6BB268016B11}"/>
              </c:ext>
            </c:extLst>
          </c:dPt>
          <c:dPt>
            <c:idx val="3"/>
            <c:bubble3D val="0"/>
            <c:spPr>
              <a:solidFill>
                <a:schemeClr val="accent4"/>
              </a:solidFill>
              <a:ln w="19050">
                <a:solidFill>
                  <a:schemeClr val="lt1"/>
                </a:solidFill>
                <a:prstDash val="solid"/>
              </a:ln>
            </c:spPr>
            <c:extLst>
              <c:ext xmlns:c16="http://schemas.microsoft.com/office/drawing/2014/chart" uri="{C3380CC4-5D6E-409C-BE32-E72D297353CC}">
                <c16:uniqueId val="{00000007-A3F6-424E-AB42-6BB268016B11}"/>
              </c:ext>
            </c:extLst>
          </c:dPt>
          <c:dLbls>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3F6-424E-AB42-6BB268016B11}"/>
                </c:ext>
              </c:extLst>
            </c:dLbl>
            <c:spPr>
              <a:solidFill>
                <a:srgbClr val="FFFFFF"/>
              </a:solidFill>
              <a:ln>
                <a:solidFill>
                  <a:srgbClr val="000000"/>
                </a:solidFill>
                <a:prstDash val="solid"/>
              </a:ln>
            </c:spPr>
            <c:txPr>
              <a:bodyPr rot="0" spcFirstLastPara="1" vertOverflow="clip" horzOverflow="clip" vert="horz" wrap="square" lIns="38100" tIns="19050" rIns="38100" bIns="19050" anchor="ctr" anchorCtr="1">
                <a:spAutoFit/>
              </a:bodyPr>
              <a:lstStyle/>
              <a:p>
                <a:pPr>
                  <a:defRPr sz="900" b="0" i="0" strike="noStrike" kern="1200" baseline="0">
                    <a:solidFill>
                      <a:schemeClr val="dk1">
                        <a:lumMod val="65000"/>
                        <a:lumOff val="35000"/>
                      </a:schemeClr>
                    </a:solidFill>
                    <a:latin typeface="+mn-lt"/>
                    <a:ea typeface="+mn-ea"/>
                    <a:cs typeface="+mn-cs"/>
                  </a:defRPr>
                </a:pPr>
                <a:endParaRPr lang="en-KE"/>
              </a:p>
            </c:txPr>
            <c:dLblPos val="outEnd"/>
            <c:showLegendKey val="0"/>
            <c:showVal val="0"/>
            <c:showCatName val="1"/>
            <c:showSerName val="0"/>
            <c:showPercent val="1"/>
            <c:showBubbleSize val="0"/>
            <c:showLeaderLines val="0"/>
            <c:extLst>
              <c:ext xmlns:c15="http://schemas.microsoft.com/office/drawing/2012/chart" uri="{CE6537A1-D6FC-4f65-9D91-7224C49458BB}"/>
            </c:extLst>
          </c:dLbls>
          <c:cat>
            <c:strRef>
              <c:f>'Control Panel'!$B$182:$B$185</c:f>
              <c:strCache>
                <c:ptCount val="4"/>
                <c:pt idx="0">
                  <c:v>Source temperature</c:v>
                </c:pt>
                <c:pt idx="1">
                  <c:v>Required supply temperature</c:v>
                </c:pt>
                <c:pt idx="2">
                  <c:v>Heat exchanger approach loss</c:v>
                </c:pt>
                <c:pt idx="3">
                  <c:v>Lift</c:v>
                </c:pt>
              </c:strCache>
            </c:strRef>
          </c:cat>
          <c:val>
            <c:numRef>
              <c:f>'Control Panel'!$C$182:$C$185</c:f>
              <c:numCache>
                <c:formatCode>General</c:formatCode>
                <c:ptCount val="4"/>
                <c:pt idx="0">
                  <c:v>38</c:v>
                </c:pt>
                <c:pt idx="1">
                  <c:v>55</c:v>
                </c:pt>
                <c:pt idx="2">
                  <c:v>3</c:v>
                </c:pt>
                <c:pt idx="3">
                  <c:v>20</c:v>
                </c:pt>
              </c:numCache>
            </c:numRef>
          </c:val>
          <c:extLst>
            <c:ext xmlns:c16="http://schemas.microsoft.com/office/drawing/2014/chart" uri="{C3380CC4-5D6E-409C-BE32-E72D297353CC}">
              <c16:uniqueId val="{00000008-A3F6-424E-AB42-6BB268016B11}"/>
            </c:ext>
          </c:extLst>
        </c:ser>
        <c:dLbls>
          <c:showLegendKey val="0"/>
          <c:showVal val="0"/>
          <c:showCatName val="0"/>
          <c:showSerName val="0"/>
          <c:showPercent val="0"/>
          <c:showBubbleSize val="0"/>
          <c:showLeaderLines val="0"/>
        </c:dLbls>
        <c:firstSliceAng val="0"/>
      </c:pieChart>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CAPEX Breakdown</a:t>
            </a:r>
          </a:p>
        </c:rich>
      </c:tx>
      <c:overlay val="0"/>
      <c:spPr>
        <a:noFill/>
        <a:ln w="0">
          <a:noFill/>
          <a:prstDash val="solid"/>
        </a:ln>
      </c:spPr>
    </c:title>
    <c:autoTitleDeleted val="0"/>
    <c:plotArea>
      <c:layout/>
      <c:doughnutChart>
        <c:varyColors val="1"/>
        <c:ser>
          <c:idx val="0"/>
          <c:order val="0"/>
          <c:spPr>
            <a:solidFill>
              <a:srgbClr val="4F81BD"/>
            </a:solidFill>
            <a:ln w="0">
              <a:noFill/>
              <a:prstDash val="solid"/>
            </a:ln>
          </c:spPr>
          <c:dPt>
            <c:idx val="0"/>
            <c:bubble3D val="0"/>
            <c:spPr>
              <a:solidFill>
                <a:srgbClr val="A7E997"/>
              </a:solidFill>
              <a:ln w="0">
                <a:noFill/>
                <a:prstDash val="solid"/>
              </a:ln>
            </c:spPr>
            <c:extLst>
              <c:ext xmlns:c16="http://schemas.microsoft.com/office/drawing/2014/chart" uri="{C3380CC4-5D6E-409C-BE32-E72D297353CC}">
                <c16:uniqueId val="{00000001-03D5-4F10-9EF6-FF06CDBA19D3}"/>
              </c:ext>
            </c:extLst>
          </c:dPt>
          <c:dPt>
            <c:idx val="1"/>
            <c:bubble3D val="0"/>
            <c:spPr>
              <a:solidFill>
                <a:srgbClr val="AB4744"/>
              </a:solidFill>
              <a:ln w="0">
                <a:noFill/>
                <a:prstDash val="solid"/>
              </a:ln>
            </c:spPr>
            <c:extLst>
              <c:ext xmlns:c16="http://schemas.microsoft.com/office/drawing/2014/chart" uri="{C3380CC4-5D6E-409C-BE32-E72D297353CC}">
                <c16:uniqueId val="{00000003-03D5-4F10-9EF6-FF06CDBA19D3}"/>
              </c:ext>
            </c:extLst>
          </c:dPt>
          <c:dPt>
            <c:idx val="2"/>
            <c:bubble3D val="0"/>
            <c:spPr>
              <a:solidFill>
                <a:srgbClr val="8AA64F"/>
              </a:solidFill>
              <a:ln w="0">
                <a:noFill/>
                <a:prstDash val="solid"/>
              </a:ln>
            </c:spPr>
            <c:extLst>
              <c:ext xmlns:c16="http://schemas.microsoft.com/office/drawing/2014/chart" uri="{C3380CC4-5D6E-409C-BE32-E72D297353CC}">
                <c16:uniqueId val="{00000005-03D5-4F10-9EF6-FF06CDBA19D3}"/>
              </c:ext>
            </c:extLst>
          </c:dPt>
          <c:dPt>
            <c:idx val="3"/>
            <c:bubble3D val="0"/>
            <c:spPr>
              <a:solidFill>
                <a:srgbClr val="007E00"/>
              </a:solidFill>
              <a:ln w="0">
                <a:noFill/>
                <a:prstDash val="solid"/>
              </a:ln>
            </c:spPr>
            <c:extLst>
              <c:ext xmlns:c16="http://schemas.microsoft.com/office/drawing/2014/chart" uri="{C3380CC4-5D6E-409C-BE32-E72D297353CC}">
                <c16:uniqueId val="{00000007-03D5-4F10-9EF6-FF06CDBA19D3}"/>
              </c:ext>
            </c:extLst>
          </c:dPt>
          <c:dPt>
            <c:idx val="4"/>
            <c:bubble3D val="0"/>
            <c:spPr>
              <a:solidFill>
                <a:srgbClr val="4299B0"/>
              </a:solidFill>
              <a:ln w="0">
                <a:noFill/>
                <a:prstDash val="solid"/>
              </a:ln>
            </c:spPr>
            <c:extLst>
              <c:ext xmlns:c16="http://schemas.microsoft.com/office/drawing/2014/chart" uri="{C3380CC4-5D6E-409C-BE32-E72D297353CC}">
                <c16:uniqueId val="{00000009-03D5-4F10-9EF6-FF06CDBA19D3}"/>
              </c:ext>
            </c:extLst>
          </c:dPt>
          <c:dPt>
            <c:idx val="5"/>
            <c:bubble3D val="0"/>
            <c:spPr>
              <a:solidFill>
                <a:srgbClr val="DC853E"/>
              </a:solidFill>
              <a:ln w="0">
                <a:noFill/>
                <a:prstDash val="solid"/>
              </a:ln>
            </c:spPr>
            <c:extLst>
              <c:ext xmlns:c16="http://schemas.microsoft.com/office/drawing/2014/chart" uri="{C3380CC4-5D6E-409C-BE32-E72D297353CC}">
                <c16:uniqueId val="{0000000B-03D5-4F10-9EF6-FF06CDBA19D3}"/>
              </c:ext>
            </c:extLst>
          </c:dPt>
          <c:dPt>
            <c:idx val="6"/>
            <c:bubble3D val="0"/>
            <c:spPr>
              <a:solidFill>
                <a:srgbClr val="0070C0"/>
              </a:solidFill>
              <a:ln w="0">
                <a:noFill/>
                <a:prstDash val="solid"/>
              </a:ln>
            </c:spPr>
            <c:extLst>
              <c:ext xmlns:c16="http://schemas.microsoft.com/office/drawing/2014/chart" uri="{C3380CC4-5D6E-409C-BE32-E72D297353CC}">
                <c16:uniqueId val="{0000000D-03D5-4F10-9EF6-FF06CDBA19D3}"/>
              </c:ext>
            </c:extLst>
          </c:dPt>
          <c:dPt>
            <c:idx val="7"/>
            <c:bubble3D val="0"/>
            <c:spPr>
              <a:solidFill>
                <a:schemeClr val="tx1"/>
              </a:solidFill>
              <a:ln w="0">
                <a:noFill/>
                <a:prstDash val="solid"/>
              </a:ln>
            </c:spPr>
            <c:extLst>
              <c:ext xmlns:c16="http://schemas.microsoft.com/office/drawing/2014/chart" uri="{C3380CC4-5D6E-409C-BE32-E72D297353CC}">
                <c16:uniqueId val="{0000000F-03D5-4F10-9EF6-FF06CDBA19D3}"/>
              </c:ext>
            </c:extLst>
          </c:dPt>
          <c:dPt>
            <c:idx val="8"/>
            <c:bubble3D val="0"/>
            <c:spPr>
              <a:solidFill>
                <a:schemeClr val="accent6">
                  <a:lumMod val="60000"/>
                  <a:lumOff val="40000"/>
                </a:schemeClr>
              </a:solidFill>
              <a:ln w="0">
                <a:noFill/>
                <a:prstDash val="solid"/>
              </a:ln>
            </c:spPr>
            <c:extLst>
              <c:ext xmlns:c16="http://schemas.microsoft.com/office/drawing/2014/chart" uri="{C3380CC4-5D6E-409C-BE32-E72D297353CC}">
                <c16:uniqueId val="{00000011-03D5-4F10-9EF6-FF06CDBA19D3}"/>
              </c:ext>
            </c:extLst>
          </c:dPt>
          <c:dLbls>
            <c:dLbl>
              <c:idx val="0"/>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1-03D5-4F10-9EF6-FF06CDBA19D3}"/>
                </c:ext>
              </c:extLst>
            </c:dLbl>
            <c:dLbl>
              <c:idx val="1"/>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3-03D5-4F10-9EF6-FF06CDBA19D3}"/>
                </c:ext>
              </c:extLst>
            </c:dLbl>
            <c:dLbl>
              <c:idx val="2"/>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5-03D5-4F10-9EF6-FF06CDBA19D3}"/>
                </c:ext>
              </c:extLst>
            </c:dLbl>
            <c:dLbl>
              <c:idx val="3"/>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7-03D5-4F10-9EF6-FF06CDBA19D3}"/>
                </c:ext>
              </c:extLst>
            </c:dLbl>
            <c:dLbl>
              <c:idx val="4"/>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9-03D5-4F10-9EF6-FF06CDBA19D3}"/>
                </c:ext>
              </c:extLst>
            </c:dLbl>
            <c:dLbl>
              <c:idx val="5"/>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B-03D5-4F10-9EF6-FF06CDBA19D3}"/>
                </c:ext>
              </c:extLst>
            </c:dLbl>
            <c:dLbl>
              <c:idx val="6"/>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D-03D5-4F10-9EF6-FF06CDBA19D3}"/>
                </c:ext>
              </c:extLst>
            </c:dLbl>
            <c:dLbl>
              <c:idx val="7"/>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0F-03D5-4F10-9EF6-FF06CDBA19D3}"/>
                </c:ext>
              </c:extLst>
            </c:dLbl>
            <c:dLbl>
              <c:idx val="8"/>
              <c:spPr>
                <a:ln>
                  <a:prstDash val="solid"/>
                </a:ln>
              </c:spPr>
              <c:txPr>
                <a:bodyPr/>
                <a:lstStyle/>
                <a:p>
                  <a:pPr>
                    <a:defRPr sz="1000" b="0" strike="noStrike" spc="-1">
                      <a:latin typeface="Arial"/>
                    </a:defRPr>
                  </a:pPr>
                  <a:endParaRPr lang="en-KE"/>
                </a:p>
              </c:txPr>
              <c:showLegendKey val="0"/>
              <c:showVal val="0"/>
              <c:showCatName val="0"/>
              <c:showSerName val="0"/>
              <c:showPercent val="0"/>
              <c:showBubbleSize val="1"/>
              <c:extLst>
                <c:ext xmlns:c16="http://schemas.microsoft.com/office/drawing/2014/chart" uri="{C3380CC4-5D6E-409C-BE32-E72D297353CC}">
                  <c16:uniqueId val="{00000011-03D5-4F10-9EF6-FF06CDBA19D3}"/>
                </c:ext>
              </c:extLst>
            </c:dLbl>
            <c:spPr>
              <a:noFill/>
              <a:ln>
                <a:noFill/>
                <a:prstDash val="solid"/>
              </a:ln>
            </c:spPr>
            <c:txPr>
              <a:bodyPr/>
              <a:lstStyle/>
              <a:p>
                <a:pPr>
                  <a:defRPr sz="1000" b="0" strike="noStrike" spc="-1">
                    <a:latin typeface="Arial"/>
                  </a:defRPr>
                </a:pPr>
                <a:endParaRPr lang="en-KE"/>
              </a:p>
            </c:txPr>
            <c:showLegendKey val="0"/>
            <c:showVal val="0"/>
            <c:showCatName val="0"/>
            <c:showSerName val="0"/>
            <c:showPercent val="0"/>
            <c:showBubbleSize val="1"/>
            <c:showLeaderLines val="1"/>
            <c:extLst>
              <c:ext xmlns:c15="http://schemas.microsoft.com/office/drawing/2012/chart" uri="{CE6537A1-D6FC-4f65-9D91-7224C49458BB}"/>
            </c:extLst>
          </c:dLbls>
          <c:cat>
            <c:strRef>
              <c:f>Dashboard!$E$65:$E$73</c:f>
              <c:strCache>
                <c:ptCount val="9"/>
                <c:pt idx="0">
                  <c:v>Heat pump</c:v>
                </c:pt>
                <c:pt idx="1">
                  <c:v>Source HX</c:v>
                </c:pt>
                <c:pt idx="2">
                  <c:v>Building HX</c:v>
                </c:pt>
                <c:pt idx="3">
                  <c:v>Heat storage</c:v>
                </c:pt>
                <c:pt idx="4">
                  <c:v>Solar PV</c:v>
                </c:pt>
                <c:pt idx="5">
                  <c:v>Adsorption chiller</c:v>
                </c:pt>
                <c:pt idx="6">
                  <c:v>Pipework &amp; civils</c:v>
                </c:pt>
                <c:pt idx="7">
                  <c:v>Electrical</c:v>
                </c:pt>
                <c:pt idx="8">
                  <c:v>Soft costs</c:v>
                </c:pt>
              </c:strCache>
            </c:strRef>
          </c:cat>
          <c:val>
            <c:numRef>
              <c:f>Dashboard!$G$65:$G$73</c:f>
              <c:numCache>
                <c:formatCode>#,##0</c:formatCode>
                <c:ptCount val="9"/>
                <c:pt idx="0">
                  <c:v>252000</c:v>
                </c:pt>
                <c:pt idx="1">
                  <c:v>24004.32</c:v>
                </c:pt>
                <c:pt idx="2">
                  <c:v>0</c:v>
                </c:pt>
                <c:pt idx="3">
                  <c:v>0</c:v>
                </c:pt>
                <c:pt idx="4">
                  <c:v>80000</c:v>
                </c:pt>
                <c:pt idx="5">
                  <c:v>0</c:v>
                </c:pt>
                <c:pt idx="6">
                  <c:v>112500</c:v>
                </c:pt>
                <c:pt idx="7">
                  <c:v>60000</c:v>
                </c:pt>
                <c:pt idx="8">
                  <c:v>105930.77760000002</c:v>
                </c:pt>
              </c:numCache>
            </c:numRef>
          </c:val>
          <c:extLst>
            <c:ext xmlns:c16="http://schemas.microsoft.com/office/drawing/2014/chart" uri="{C3380CC4-5D6E-409C-BE32-E72D297353CC}">
              <c16:uniqueId val="{00000012-03D5-4F10-9EF6-FF06CDBA19D3}"/>
            </c:ext>
          </c:extLst>
        </c:ser>
        <c:dLbls>
          <c:showLegendKey val="0"/>
          <c:showVal val="0"/>
          <c:showCatName val="0"/>
          <c:showSerName val="0"/>
          <c:showPercent val="0"/>
          <c:showBubbleSize val="0"/>
          <c:showLeaderLines val="1"/>
        </c:dLbls>
        <c:firstSliceAng val="0"/>
        <c:holeSize val="50"/>
      </c:doughnutChart>
    </c:plotArea>
    <c:legend>
      <c:legendPos val="r"/>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Avoided Cost &amp; Revenue</a:t>
            </a:r>
          </a:p>
        </c:rich>
      </c:tx>
      <c:overlay val="0"/>
      <c:spPr>
        <a:noFill/>
        <a:ln w="0">
          <a:noFill/>
          <a:prstDash val="solid"/>
        </a:ln>
      </c:spPr>
    </c:title>
    <c:autoTitleDeleted val="0"/>
    <c:plotArea>
      <c:layout/>
      <c:barChart>
        <c:barDir val="col"/>
        <c:grouping val="stacked"/>
        <c:varyColors val="0"/>
        <c:ser>
          <c:idx val="0"/>
          <c:order val="0"/>
          <c:tx>
            <c:strRef>
              <c:f>Dashboard!$E$87</c:f>
              <c:strCache>
                <c:ptCount val="1"/>
                <c:pt idx="0">
                  <c:v>Avoided cost</c:v>
                </c:pt>
              </c:strCache>
            </c:strRef>
          </c:tx>
          <c:spPr>
            <a:solidFill>
              <a:srgbClr val="007E00"/>
            </a:solidFill>
          </c:spPr>
          <c:invertIfNegative val="0"/>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Dashboard!$K$87:$AG$87</c:f>
              <c:numCache>
                <c:formatCode>#,##0;\(#,##0\);\-</c:formatCode>
                <c:ptCount val="23"/>
                <c:pt idx="0">
                  <c:v>0</c:v>
                </c:pt>
                <c:pt idx="1">
                  <c:v>0</c:v>
                </c:pt>
                <c:pt idx="2">
                  <c:v>0</c:v>
                </c:pt>
                <c:pt idx="3">
                  <c:v>65841.451208973405</c:v>
                </c:pt>
                <c:pt idx="4">
                  <c:v>67681.061355752114</c:v>
                </c:pt>
                <c:pt idx="5">
                  <c:v>69572.070210031816</c:v>
                </c:pt>
                <c:pt idx="6">
                  <c:v>71515.913851700112</c:v>
                </c:pt>
                <c:pt idx="7">
                  <c:v>73514.068484716612</c:v>
                </c:pt>
                <c:pt idx="8">
                  <c:v>75568.051558179592</c:v>
                </c:pt>
                <c:pt idx="9">
                  <c:v>77679.422918715121</c:v>
                </c:pt>
                <c:pt idx="10">
                  <c:v>79849.785995064027</c:v>
                </c:pt>
                <c:pt idx="11">
                  <c:v>82080.789015766131</c:v>
                </c:pt>
                <c:pt idx="12">
                  <c:v>84374.1262608666</c:v>
                </c:pt>
                <c:pt idx="13">
                  <c:v>86731.539348595223</c:v>
                </c:pt>
                <c:pt idx="14">
                  <c:v>89154.818557994979</c:v>
                </c:pt>
                <c:pt idx="15">
                  <c:v>91645.804188505368</c:v>
                </c:pt>
                <c:pt idx="16">
                  <c:v>94206.387957532192</c:v>
                </c:pt>
                <c:pt idx="17">
                  <c:v>96838.514437065649</c:v>
                </c:pt>
                <c:pt idx="18">
                  <c:v>99544.182530437261</c:v>
                </c:pt>
                <c:pt idx="19">
                  <c:v>102325.44699033769</c:v>
                </c:pt>
                <c:pt idx="20">
                  <c:v>105184.4199792477</c:v>
                </c:pt>
                <c:pt idx="21">
                  <c:v>108123.27267346786</c:v>
                </c:pt>
                <c:pt idx="22">
                  <c:v>111144.23691196457</c:v>
                </c:pt>
              </c:numCache>
            </c:numRef>
          </c:val>
          <c:extLst>
            <c:ext xmlns:c16="http://schemas.microsoft.com/office/drawing/2014/chart" uri="{C3380CC4-5D6E-409C-BE32-E72D297353CC}">
              <c16:uniqueId val="{00000000-447C-4085-88E3-B18E27C85FA5}"/>
            </c:ext>
          </c:extLst>
        </c:ser>
        <c:ser>
          <c:idx val="1"/>
          <c:order val="1"/>
          <c:tx>
            <c:strRef>
              <c:f>Dashboard!$E$88</c:f>
              <c:strCache>
                <c:ptCount val="1"/>
                <c:pt idx="0">
                  <c:v>Revenue (sales)</c:v>
                </c:pt>
              </c:strCache>
            </c:strRef>
          </c:tx>
          <c:spPr>
            <a:solidFill>
              <a:srgbClr val="A7E997"/>
            </a:solidFill>
          </c:spPr>
          <c:invertIfNegative val="0"/>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Dashboard!$K$88:$AG$88</c:f>
              <c:numCache>
                <c:formatCode>#,##0;\(#,##0\);\-</c:formatCode>
                <c:ptCount val="23"/>
                <c:pt idx="0">
                  <c:v>0</c:v>
                </c:pt>
                <c:pt idx="1">
                  <c:v>0</c:v>
                </c:pt>
                <c:pt idx="2">
                  <c:v>0</c:v>
                </c:pt>
                <c:pt idx="3">
                  <c:v>62359.942261887321</c:v>
                </c:pt>
                <c:pt idx="4">
                  <c:v>64034.871116524453</c:v>
                </c:pt>
                <c:pt idx="5">
                  <c:v>65755.249324716948</c:v>
                </c:pt>
                <c:pt idx="6">
                  <c:v>67522.319778230274</c:v>
                </c:pt>
                <c:pt idx="7">
                  <c:v>69337.359555962379</c:v>
                </c:pt>
                <c:pt idx="8">
                  <c:v>71201.680868346884</c:v>
                </c:pt>
                <c:pt idx="9">
                  <c:v>73116.632027927233</c:v>
                </c:pt>
                <c:pt idx="10">
                  <c:v>75083.598446828633</c:v>
                </c:pt>
                <c:pt idx="11">
                  <c:v>77104.003661874958</c:v>
                </c:pt>
                <c:pt idx="12">
                  <c:v>79179.310388118523</c:v>
                </c:pt>
                <c:pt idx="13">
                  <c:v>81311.02160157192</c:v>
                </c:pt>
                <c:pt idx="14">
                  <c:v>83500.681651953433</c:v>
                </c:pt>
                <c:pt idx="15">
                  <c:v>85749.877406279251</c:v>
                </c:pt>
                <c:pt idx="16">
                  <c:v>88060.239424160332</c:v>
                </c:pt>
                <c:pt idx="17">
                  <c:v>90433.443165684002</c:v>
                </c:pt>
                <c:pt idx="18">
                  <c:v>92871.210232786136</c:v>
                </c:pt>
                <c:pt idx="19">
                  <c:v>95375.309645044137</c:v>
                </c:pt>
                <c:pt idx="20">
                  <c:v>97947.559150847694</c:v>
                </c:pt>
                <c:pt idx="21">
                  <c:v>100589.82657492983</c:v>
                </c:pt>
                <c:pt idx="22">
                  <c:v>103304.03120326898</c:v>
                </c:pt>
              </c:numCache>
            </c:numRef>
          </c:val>
          <c:extLst>
            <c:ext xmlns:c16="http://schemas.microsoft.com/office/drawing/2014/chart" uri="{C3380CC4-5D6E-409C-BE32-E72D297353CC}">
              <c16:uniqueId val="{00000001-447C-4085-88E3-B18E27C85FA5}"/>
            </c:ext>
          </c:extLst>
        </c:ser>
        <c:dLbls>
          <c:showLegendKey val="0"/>
          <c:showVal val="0"/>
          <c:showCatName val="0"/>
          <c:showSerName val="0"/>
          <c:showPercent val="0"/>
          <c:showBubbleSize val="0"/>
        </c:dLbls>
        <c:gapWidth val="150"/>
        <c:overlap val="100"/>
        <c:axId val="20974747"/>
        <c:axId val="53917952"/>
      </c:barChart>
      <c:catAx>
        <c:axId val="20974747"/>
        <c:scaling>
          <c:orientation val="minMax"/>
        </c:scaling>
        <c:delete val="0"/>
        <c:axPos val="b"/>
        <c:numFmt formatCode="0" sourceLinked="1"/>
        <c:majorTickMark val="none"/>
        <c:minorTickMark val="none"/>
        <c:tickLblPos val="nextTo"/>
        <c:spPr>
          <a:ln w="0">
            <a:solidFill>
              <a:srgbClr val="B3B3B3"/>
            </a:solidFill>
            <a:prstDash val="solid"/>
          </a:ln>
        </c:spPr>
        <c:txPr>
          <a:bodyPr/>
          <a:lstStyle/>
          <a:p>
            <a:pPr>
              <a:defRPr sz="1000" b="0" strike="noStrike" spc="-1">
                <a:solidFill>
                  <a:srgbClr val="000000"/>
                </a:solidFill>
                <a:latin typeface="Calibri"/>
              </a:defRPr>
            </a:pPr>
            <a:endParaRPr lang="en-KE"/>
          </a:p>
        </c:txPr>
        <c:crossAx val="53917952"/>
        <c:crosses val="autoZero"/>
        <c:auto val="1"/>
        <c:lblAlgn val="ctr"/>
        <c:lblOffset val="100"/>
        <c:noMultiLvlLbl val="0"/>
      </c:catAx>
      <c:valAx>
        <c:axId val="53917952"/>
        <c:scaling>
          <c:orientation val="minMax"/>
        </c:scaling>
        <c:delete val="0"/>
        <c:axPos val="l"/>
        <c:majorGridlines>
          <c:spPr>
            <a:ln w="0">
              <a:solidFill>
                <a:srgbClr val="B3B3B3"/>
              </a:solidFill>
              <a:prstDash val="solid"/>
            </a:ln>
          </c:spPr>
        </c:majorGridlines>
        <c:numFmt formatCode="#,##0;\(#,##0\);\-" sourceLinked="1"/>
        <c:majorTickMark val="none"/>
        <c:minorTickMark val="none"/>
        <c:tickLblPos val="nextTo"/>
        <c:spPr>
          <a:ln w="0">
            <a:solidFill>
              <a:srgbClr val="B3B3B3"/>
            </a:solidFill>
            <a:prstDash val="solid"/>
          </a:ln>
        </c:spPr>
        <c:txPr>
          <a:bodyPr/>
          <a:lstStyle/>
          <a:p>
            <a:pPr>
              <a:defRPr sz="1000" b="0" strike="noStrike" spc="-1">
                <a:solidFill>
                  <a:srgbClr val="000000"/>
                </a:solidFill>
                <a:latin typeface="Calibri"/>
              </a:defRPr>
            </a:pPr>
            <a:endParaRPr lang="en-KE"/>
          </a:p>
        </c:txPr>
        <c:crossAx val="20974747"/>
        <c:crosses val="autoZero"/>
        <c:crossBetween val="between"/>
      </c:valAx>
    </c:plotArea>
    <c:legend>
      <c:legendPos val="r"/>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Cash Position</a:t>
            </a:r>
          </a:p>
        </c:rich>
      </c:tx>
      <c:overlay val="0"/>
      <c:spPr>
        <a:noFill/>
        <a:ln w="0">
          <a:noFill/>
          <a:prstDash val="solid"/>
        </a:ln>
      </c:spPr>
    </c:title>
    <c:autoTitleDeleted val="0"/>
    <c:plotArea>
      <c:layout>
        <c:manualLayout>
          <c:layoutTarget val="inner"/>
          <c:xMode val="edge"/>
          <c:yMode val="edge"/>
          <c:x val="8.7223651605450064E-2"/>
          <c:y val="0.11785942291754208"/>
          <c:w val="0.87143859814952418"/>
          <c:h val="0.7532460598068963"/>
        </c:manualLayout>
      </c:layout>
      <c:areaChart>
        <c:grouping val="standard"/>
        <c:varyColors val="1"/>
        <c:ser>
          <c:idx val="0"/>
          <c:order val="0"/>
          <c:tx>
            <c:strRef>
              <c:f>Dashboard!$E$95</c:f>
              <c:strCache>
                <c:ptCount val="1"/>
                <c:pt idx="0">
                  <c:v>Cash position</c:v>
                </c:pt>
              </c:strCache>
            </c:strRef>
          </c:tx>
          <c:spPr>
            <a:solidFill>
              <a:srgbClr val="CEF6D9"/>
            </a:solidFill>
            <a:ln w="25400">
              <a:noFill/>
            </a:ln>
          </c:spPr>
          <c:cat>
            <c:numRef>
              <c:f>Dashboard!$K$62:$AG$62</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Dashboard!$K$95:$AG$95</c:f>
              <c:numCache>
                <c:formatCode>#,##0;\(#,##0\);\-</c:formatCode>
                <c:ptCount val="23"/>
                <c:pt idx="0">
                  <c:v>0</c:v>
                </c:pt>
                <c:pt idx="1">
                  <c:v>0</c:v>
                </c:pt>
                <c:pt idx="2">
                  <c:v>-1.4551915228366852E-11</c:v>
                </c:pt>
                <c:pt idx="3">
                  <c:v>31540.320083005783</c:v>
                </c:pt>
                <c:pt idx="4">
                  <c:v>65246.351443439671</c:v>
                </c:pt>
                <c:pt idx="5">
                  <c:v>100955.1322402739</c:v>
                </c:pt>
                <c:pt idx="6">
                  <c:v>138723.0697421112</c:v>
                </c:pt>
                <c:pt idx="7">
                  <c:v>178608.14712507231</c:v>
                </c:pt>
                <c:pt idx="8">
                  <c:v>220669.96714783562</c:v>
                </c:pt>
                <c:pt idx="9">
                  <c:v>264969.79702737433</c:v>
                </c:pt>
                <c:pt idx="10">
                  <c:v>311570.61454812915</c:v>
                </c:pt>
                <c:pt idx="11">
                  <c:v>360537.15543824021</c:v>
                </c:pt>
                <c:pt idx="12">
                  <c:v>411935.96204736986</c:v>
                </c:pt>
                <c:pt idx="13">
                  <c:v>463197.33570655895</c:v>
                </c:pt>
                <c:pt idx="14">
                  <c:v>513086.89331765869</c:v>
                </c:pt>
                <c:pt idx="15">
                  <c:v>564998.60877365759</c:v>
                </c:pt>
                <c:pt idx="16">
                  <c:v>619035.75108853146</c:v>
                </c:pt>
                <c:pt idx="17">
                  <c:v>675293.88166834763</c:v>
                </c:pt>
                <c:pt idx="18">
                  <c:v>770692.82034602982</c:v>
                </c:pt>
                <c:pt idx="19">
                  <c:v>868686.560701999</c:v>
                </c:pt>
                <c:pt idx="20">
                  <c:v>969369.03835934796</c:v>
                </c:pt>
                <c:pt idx="21">
                  <c:v>1072832.5939393635</c:v>
                </c:pt>
                <c:pt idx="22">
                  <c:v>1179168.7704492477</c:v>
                </c:pt>
              </c:numCache>
            </c:numRef>
          </c:val>
          <c:extLst>
            <c:ext xmlns:c16="http://schemas.microsoft.com/office/drawing/2014/chart" uri="{C3380CC4-5D6E-409C-BE32-E72D297353CC}">
              <c16:uniqueId val="{00000000-7361-43CA-AF4F-89B63252FA66}"/>
            </c:ext>
          </c:extLst>
        </c:ser>
        <c:dLbls>
          <c:showLegendKey val="0"/>
          <c:showVal val="0"/>
          <c:showCatName val="0"/>
          <c:showSerName val="0"/>
          <c:showPercent val="0"/>
          <c:showBubbleSize val="0"/>
        </c:dLbls>
        <c:axId val="10"/>
        <c:axId val="100"/>
      </c:areaChart>
      <c:catAx>
        <c:axId val="10"/>
        <c:scaling>
          <c:orientation val="minMax"/>
        </c:scaling>
        <c:delete val="0"/>
        <c:axPos val="b"/>
        <c:numFmt formatCode="0" sourceLinked="0"/>
        <c:majorTickMark val="out"/>
        <c:minorTickMark val="none"/>
        <c:tickLblPos val="nextTo"/>
        <c:txPr>
          <a:bodyPr/>
          <a:lstStyle/>
          <a:p>
            <a:pPr>
              <a:defRPr sz="600"/>
            </a:pPr>
            <a:endParaRPr lang="en-KE"/>
          </a:p>
        </c:txPr>
        <c:crossAx val="100"/>
        <c:crosses val="autoZero"/>
        <c:auto val="1"/>
        <c:lblAlgn val="ctr"/>
        <c:lblOffset val="100"/>
        <c:noMultiLvlLbl val="1"/>
      </c:catAx>
      <c:valAx>
        <c:axId val="100"/>
        <c:scaling>
          <c:orientation val="minMax"/>
        </c:scaling>
        <c:delete val="0"/>
        <c:axPos val="l"/>
        <c:majorGridlines/>
        <c:numFmt formatCode="#,##0;\(#,##0\);\-" sourceLinked="1"/>
        <c:majorTickMark val="out"/>
        <c:minorTickMark val="none"/>
        <c:tickLblPos val="nextTo"/>
        <c:txPr>
          <a:bodyPr/>
          <a:lstStyle/>
          <a:p>
            <a:pPr>
              <a:defRPr sz="700"/>
            </a:pPr>
            <a:endParaRPr lang="en-KE"/>
          </a:p>
        </c:txPr>
        <c:crossAx val="10"/>
        <c:crosses val="autoZero"/>
        <c:crossBetween val="midCat"/>
      </c:valAx>
    </c:plotArea>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Cumulative Free Cash Flow</a:t>
            </a:r>
          </a:p>
        </c:rich>
      </c:tx>
      <c:overlay val="0"/>
      <c:spPr>
        <a:noFill/>
        <a:ln w="0">
          <a:noFill/>
          <a:prstDash val="solid"/>
        </a:ln>
      </c:spPr>
    </c:title>
    <c:autoTitleDeleted val="0"/>
    <c:plotArea>
      <c:layout/>
      <c:areaChart>
        <c:grouping val="standard"/>
        <c:varyColors val="1"/>
        <c:ser>
          <c:idx val="1"/>
          <c:order val="0"/>
          <c:tx>
            <c:strRef>
              <c:f>Dashboard!$E$98</c:f>
              <c:strCache>
                <c:ptCount val="1"/>
                <c:pt idx="0">
                  <c:v>Cumulative FCF</c:v>
                </c:pt>
              </c:strCache>
            </c:strRef>
          </c:tx>
          <c:spPr>
            <a:solidFill>
              <a:srgbClr val="A7E997"/>
            </a:solidFill>
            <a:ln w="25400">
              <a:noFill/>
            </a:ln>
          </c:spPr>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Dashboard!$K$98:$AG$98</c:f>
              <c:numCache>
                <c:formatCode>#,##0;\(#,##0\);\-</c:formatCode>
                <c:ptCount val="23"/>
                <c:pt idx="0">
                  <c:v>0</c:v>
                </c:pt>
                <c:pt idx="1">
                  <c:v>-247913.32984319999</c:v>
                </c:pt>
                <c:pt idx="2">
                  <c:v>-500784.92628326395</c:v>
                </c:pt>
                <c:pt idx="3">
                  <c:v>-435274.07290603063</c:v>
                </c:pt>
                <c:pt idx="4">
                  <c:v>-367990.3993714783</c:v>
                </c:pt>
                <c:pt idx="5">
                  <c:v>-298883.96334180352</c:v>
                </c:pt>
                <c:pt idx="6">
                  <c:v>-227903.42690909177</c:v>
                </c:pt>
                <c:pt idx="7">
                  <c:v>-154996.01791112521</c:v>
                </c:pt>
                <c:pt idx="8">
                  <c:v>-80107.49018352144</c:v>
                </c:pt>
                <c:pt idx="9">
                  <c:v>-3182.0827191960416</c:v>
                </c:pt>
                <c:pt idx="10">
                  <c:v>75837.522294641545</c:v>
                </c:pt>
                <c:pt idx="11">
                  <c:v>157010.24259255518</c:v>
                </c:pt>
                <c:pt idx="12">
                  <c:v>240396.64013143495</c:v>
                </c:pt>
                <c:pt idx="13">
                  <c:v>326058.96660780808</c:v>
                </c:pt>
                <c:pt idx="14">
                  <c:v>414061.21022505098</c:v>
                </c:pt>
                <c:pt idx="15">
                  <c:v>504469.1437445411</c:v>
                </c:pt>
                <c:pt idx="16">
                  <c:v>597350.37385570572</c:v>
                </c:pt>
                <c:pt idx="17">
                  <c:v>692774.39190086932</c:v>
                </c:pt>
                <c:pt idx="18">
                  <c:v>789254.96359176806</c:v>
                </c:pt>
                <c:pt idx="19">
                  <c:v>888423.16975559609</c:v>
                </c:pt>
                <c:pt idx="20">
                  <c:v>990354.4741494694</c:v>
                </c:pt>
                <c:pt idx="21">
                  <c:v>1095126.4423832407</c:v>
                </c:pt>
                <c:pt idx="22">
                  <c:v>1202818.7999916747</c:v>
                </c:pt>
              </c:numCache>
            </c:numRef>
          </c:val>
          <c:extLst>
            <c:ext xmlns:c16="http://schemas.microsoft.com/office/drawing/2014/chart" uri="{C3380CC4-5D6E-409C-BE32-E72D297353CC}">
              <c16:uniqueId val="{00000000-AF49-4069-9767-F1A041722C5C}"/>
            </c:ext>
          </c:extLst>
        </c:ser>
        <c:dLbls>
          <c:showLegendKey val="0"/>
          <c:showVal val="0"/>
          <c:showCatName val="0"/>
          <c:showSerName val="0"/>
          <c:showPercent val="0"/>
          <c:showBubbleSize val="0"/>
        </c:dLbls>
        <c:axId val="10"/>
        <c:axId val="100"/>
      </c:areaChart>
      <c:catAx>
        <c:axId val="10"/>
        <c:scaling>
          <c:orientation val="minMax"/>
        </c:scaling>
        <c:delete val="0"/>
        <c:axPos val="b"/>
        <c:numFmt formatCode="0" sourceLinked="0"/>
        <c:majorTickMark val="out"/>
        <c:minorTickMark val="none"/>
        <c:tickLblPos val="nextTo"/>
        <c:txPr>
          <a:bodyPr rot="5400000" vert="horz"/>
          <a:lstStyle/>
          <a:p>
            <a:pPr>
              <a:defRPr sz="600"/>
            </a:pPr>
            <a:endParaRPr lang="en-KE"/>
          </a:p>
        </c:txPr>
        <c:crossAx val="100"/>
        <c:crosses val="autoZero"/>
        <c:auto val="1"/>
        <c:lblAlgn val="ctr"/>
        <c:lblOffset val="100"/>
        <c:noMultiLvlLbl val="1"/>
      </c:catAx>
      <c:valAx>
        <c:axId val="100"/>
        <c:scaling>
          <c:orientation val="minMax"/>
        </c:scaling>
        <c:delete val="0"/>
        <c:axPos val="l"/>
        <c:majorGridlines/>
        <c:numFmt formatCode="#,##0;\(#,##0\);\-" sourceLinked="1"/>
        <c:majorTickMark val="out"/>
        <c:minorTickMark val="none"/>
        <c:tickLblPos val="nextTo"/>
        <c:txPr>
          <a:bodyPr/>
          <a:lstStyle/>
          <a:p>
            <a:pPr>
              <a:defRPr sz="700"/>
            </a:pPr>
            <a:endParaRPr lang="en-KE"/>
          </a:p>
        </c:txPr>
        <c:crossAx val="10"/>
        <c:crosses val="autoZero"/>
        <c:crossBetween val="midCat"/>
      </c:valAx>
    </c:plotArea>
    <c:legend>
      <c:legendPos val="b"/>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de-DE"/>
              <a:t>EBITDA vs Net Income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KE"/>
        </a:p>
      </c:txPr>
    </c:title>
    <c:autoTitleDeleted val="0"/>
    <c:plotArea>
      <c:layout/>
      <c:lineChart>
        <c:grouping val="standard"/>
        <c:varyColors val="0"/>
        <c:ser>
          <c:idx val="0"/>
          <c:order val="0"/>
          <c:tx>
            <c:strRef>
              <c:f>Dashboard!$E$91</c:f>
              <c:strCache>
                <c:ptCount val="1"/>
                <c:pt idx="0">
                  <c:v>EBITDA</c:v>
                </c:pt>
              </c:strCache>
            </c:strRef>
          </c:tx>
          <c:spPr>
            <a:ln w="31750" cap="rnd">
              <a:solidFill>
                <a:srgbClr val="A7E997"/>
              </a:solidFill>
              <a:round/>
            </a:ln>
            <a:effectLst/>
          </c:spPr>
          <c:marker>
            <c:symbol val="none"/>
          </c:marker>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Dashboard!$K$91:$AG$91</c:f>
              <c:numCache>
                <c:formatCode>#,##0;\(#,##0\);\-</c:formatCode>
                <c:ptCount val="23"/>
                <c:pt idx="0">
                  <c:v>0</c:v>
                </c:pt>
                <c:pt idx="1">
                  <c:v>0</c:v>
                </c:pt>
                <c:pt idx="2">
                  <c:v>0</c:v>
                </c:pt>
                <c:pt idx="3">
                  <c:v>68596.941725047218</c:v>
                </c:pt>
                <c:pt idx="4">
                  <c:v>70545.095744079095</c:v>
                </c:pt>
                <c:pt idx="5">
                  <c:v>72548.131453004884</c:v>
                </c:pt>
                <c:pt idx="6">
                  <c:v>74607.582445353226</c:v>
                </c:pt>
                <c:pt idx="7">
                  <c:v>76725.024824754102</c:v>
                </c:pt>
                <c:pt idx="8">
                  <c:v>78902.078373805969</c:v>
                </c:pt>
                <c:pt idx="9">
                  <c:v>81140.407754818749</c:v>
                </c:pt>
                <c:pt idx="10">
                  <c:v>83441.723743293682</c:v>
                </c:pt>
                <c:pt idx="11">
                  <c:v>85807.784495025597</c:v>
                </c:pt>
                <c:pt idx="12">
                  <c:v>88240.396847735639</c:v>
                </c:pt>
                <c:pt idx="13">
                  <c:v>90741.417658167891</c:v>
                </c:pt>
                <c:pt idx="14">
                  <c:v>93312.755175607221</c:v>
                </c:pt>
                <c:pt idx="15">
                  <c:v>95956.370452801973</c:v>
                </c:pt>
                <c:pt idx="16">
                  <c:v>98674.278795301463</c:v>
                </c:pt>
                <c:pt idx="17">
                  <c:v>101468.55125024536</c:v>
                </c:pt>
                <c:pt idx="18">
                  <c:v>104341.31613566855</c:v>
                </c:pt>
                <c:pt idx="19">
                  <c:v>107294.76061141508</c:v>
                </c:pt>
                <c:pt idx="20">
                  <c:v>110331.13229278354</c:v>
                </c:pt>
                <c:pt idx="21">
                  <c:v>113452.74090805593</c:v>
                </c:pt>
                <c:pt idx="22">
                  <c:v>116661.96000109207</c:v>
                </c:pt>
              </c:numCache>
            </c:numRef>
          </c:val>
          <c:smooth val="0"/>
          <c:extLst>
            <c:ext xmlns:c16="http://schemas.microsoft.com/office/drawing/2014/chart" uri="{C3380CC4-5D6E-409C-BE32-E72D297353CC}">
              <c16:uniqueId val="{00000000-7821-4074-A113-E0F3CEEE9DE1}"/>
            </c:ext>
          </c:extLst>
        </c:ser>
        <c:ser>
          <c:idx val="1"/>
          <c:order val="1"/>
          <c:tx>
            <c:strRef>
              <c:f>Dashboard!$E$92</c:f>
              <c:strCache>
                <c:ptCount val="1"/>
                <c:pt idx="0">
                  <c:v>Net income</c:v>
                </c:pt>
              </c:strCache>
            </c:strRef>
          </c:tx>
          <c:spPr>
            <a:ln w="31750" cap="rnd">
              <a:solidFill>
                <a:srgbClr val="007E00"/>
              </a:solidFill>
              <a:round/>
            </a:ln>
            <a:effectLst/>
          </c:spPr>
          <c:marker>
            <c:symbol val="none"/>
          </c:marker>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Dashboard!$K$92:$AG$92</c:f>
              <c:numCache>
                <c:formatCode>#,##0;\(#,##0\);\-</c:formatCode>
                <c:ptCount val="23"/>
                <c:pt idx="0">
                  <c:v>0</c:v>
                </c:pt>
                <c:pt idx="1">
                  <c:v>0</c:v>
                </c:pt>
                <c:pt idx="2">
                  <c:v>0</c:v>
                </c:pt>
                <c:pt idx="3">
                  <c:v>13074.456435301225</c:v>
                </c:pt>
                <c:pt idx="4">
                  <c:v>18571.278511939548</c:v>
                </c:pt>
                <c:pt idx="5">
                  <c:v>23652.988403702238</c:v>
                </c:pt>
                <c:pt idx="6">
                  <c:v>28429.502863276997</c:v>
                </c:pt>
                <c:pt idx="7">
                  <c:v>32989.967584673286</c:v>
                </c:pt>
                <c:pt idx="8">
                  <c:v>37406.972869628611</c:v>
                </c:pt>
                <c:pt idx="9">
                  <c:v>41739.929533409733</c:v>
                </c:pt>
                <c:pt idx="10">
                  <c:v>46037.773195787639</c:v>
                </c:pt>
                <c:pt idx="11">
                  <c:v>50341.131485191538</c:v>
                </c:pt>
                <c:pt idx="12">
                  <c:v>54684.061790501735</c:v>
                </c:pt>
                <c:pt idx="13">
                  <c:v>56457.348025801839</c:v>
                </c:pt>
                <c:pt idx="14">
                  <c:v>57019.223484038295</c:v>
                </c:pt>
                <c:pt idx="15">
                  <c:v>61017.754974566087</c:v>
                </c:pt>
                <c:pt idx="16">
                  <c:v>65179.463649818019</c:v>
                </c:pt>
                <c:pt idx="17">
                  <c:v>69511.968392408991</c:v>
                </c:pt>
                <c:pt idx="18">
                  <c:v>84580.773855251624</c:v>
                </c:pt>
                <c:pt idx="19">
                  <c:v>87268.408328181016</c:v>
                </c:pt>
                <c:pt idx="20">
                  <c:v>90031.506558226305</c:v>
                </c:pt>
                <c:pt idx="21">
                  <c:v>92872.170398124174</c:v>
                </c:pt>
                <c:pt idx="22">
                  <c:v>95792.559772787092</c:v>
                </c:pt>
              </c:numCache>
            </c:numRef>
          </c:val>
          <c:smooth val="0"/>
          <c:extLst>
            <c:ext xmlns:c16="http://schemas.microsoft.com/office/drawing/2014/chart" uri="{C3380CC4-5D6E-409C-BE32-E72D297353CC}">
              <c16:uniqueId val="{00000001-7821-4074-A113-E0F3CEEE9DE1}"/>
            </c:ext>
          </c:extLst>
        </c:ser>
        <c:dLbls>
          <c:showLegendKey val="0"/>
          <c:showVal val="0"/>
          <c:showCatName val="0"/>
          <c:showSerName val="0"/>
          <c:showPercent val="0"/>
          <c:showBubbleSize val="0"/>
        </c:dLbls>
        <c:hiLowLines>
          <c:spPr>
            <a:ln w="9525">
              <a:solidFill>
                <a:schemeClr val="tx2">
                  <a:lumMod val="60000"/>
                  <a:lumOff val="40000"/>
                </a:schemeClr>
              </a:solidFill>
              <a:prstDash val="dash"/>
            </a:ln>
            <a:effectLst/>
          </c:spPr>
        </c:hiLowLines>
        <c:smooth val="0"/>
        <c:axId val="3745441"/>
        <c:axId val="29058823"/>
      </c:lineChart>
      <c:catAx>
        <c:axId val="3745441"/>
        <c:scaling>
          <c:orientation val="minMax"/>
        </c:scaling>
        <c:delete val="0"/>
        <c:axPos val="b"/>
        <c:numFmt formatCode="0"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2"/>
                </a:solidFill>
                <a:latin typeface="+mn-lt"/>
                <a:ea typeface="+mn-ea"/>
                <a:cs typeface="+mn-cs"/>
              </a:defRPr>
            </a:pPr>
            <a:endParaRPr lang="en-KE"/>
          </a:p>
        </c:txPr>
        <c:crossAx val="29058823"/>
        <c:crosses val="autoZero"/>
        <c:auto val="1"/>
        <c:lblAlgn val="ctr"/>
        <c:lblOffset val="100"/>
        <c:noMultiLvlLbl val="0"/>
      </c:catAx>
      <c:valAx>
        <c:axId val="29058823"/>
        <c:scaling>
          <c:orientation val="minMax"/>
        </c:scaling>
        <c:delete val="0"/>
        <c:axPos val="l"/>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2"/>
                </a:solidFill>
                <a:latin typeface="+mn-lt"/>
                <a:ea typeface="+mn-ea"/>
                <a:cs typeface="+mn-cs"/>
              </a:defRPr>
            </a:pPr>
            <a:endParaRPr lang="en-KE"/>
          </a:p>
        </c:txPr>
        <c:crossAx val="374544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KE"/>
        </a:p>
      </c:txPr>
    </c:legend>
    <c:plotVisOnly val="1"/>
    <c:dispBlanksAs val="gap"/>
    <c:showDLblsOverMax val="1"/>
  </c:chart>
  <c:spPr>
    <a:solidFill>
      <a:schemeClr val="bg1"/>
    </a:solidFill>
    <a:ln w="9525" cap="flat" cmpd="sng" algn="ctr">
      <a:solidFill>
        <a:schemeClr val="tx2">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CAPEX Breakdown</a:t>
            </a:r>
          </a:p>
        </c:rich>
      </c:tx>
      <c:overlay val="0"/>
      <c:spPr>
        <a:noFill/>
        <a:ln w="0">
          <a:noFill/>
          <a:prstDash val="solid"/>
        </a:ln>
      </c:spPr>
    </c:title>
    <c:autoTitleDeleted val="0"/>
    <c:plotArea>
      <c:layout/>
      <c:doughnutChart>
        <c:varyColors val="1"/>
        <c:ser>
          <c:idx val="0"/>
          <c:order val="0"/>
          <c:spPr>
            <a:solidFill>
              <a:srgbClr val="4F81BD"/>
            </a:solidFill>
            <a:ln w="0">
              <a:noFill/>
              <a:prstDash val="solid"/>
            </a:ln>
          </c:spPr>
          <c:explosion val="4"/>
          <c:dPt>
            <c:idx val="0"/>
            <c:bubble3D val="0"/>
            <c:spPr>
              <a:solidFill>
                <a:srgbClr val="A7E997"/>
              </a:solidFill>
              <a:ln w="0">
                <a:noFill/>
                <a:prstDash val="solid"/>
              </a:ln>
            </c:spPr>
            <c:extLst>
              <c:ext xmlns:c16="http://schemas.microsoft.com/office/drawing/2014/chart" uri="{C3380CC4-5D6E-409C-BE32-E72D297353CC}">
                <c16:uniqueId val="{00000001-0879-49C3-B3C9-1B1D72D895A6}"/>
              </c:ext>
            </c:extLst>
          </c:dPt>
          <c:dPt>
            <c:idx val="1"/>
            <c:bubble3D val="0"/>
            <c:spPr>
              <a:solidFill>
                <a:srgbClr val="AB4744"/>
              </a:solidFill>
              <a:ln w="0">
                <a:noFill/>
                <a:prstDash val="solid"/>
              </a:ln>
            </c:spPr>
            <c:extLst>
              <c:ext xmlns:c16="http://schemas.microsoft.com/office/drawing/2014/chart" uri="{C3380CC4-5D6E-409C-BE32-E72D297353CC}">
                <c16:uniqueId val="{00000003-0879-49C3-B3C9-1B1D72D895A6}"/>
              </c:ext>
            </c:extLst>
          </c:dPt>
          <c:dPt>
            <c:idx val="2"/>
            <c:bubble3D val="0"/>
            <c:spPr>
              <a:solidFill>
                <a:srgbClr val="8AA64F"/>
              </a:solidFill>
              <a:ln w="0">
                <a:noFill/>
                <a:prstDash val="solid"/>
              </a:ln>
            </c:spPr>
            <c:extLst>
              <c:ext xmlns:c16="http://schemas.microsoft.com/office/drawing/2014/chart" uri="{C3380CC4-5D6E-409C-BE32-E72D297353CC}">
                <c16:uniqueId val="{00000005-0879-49C3-B3C9-1B1D72D895A6}"/>
              </c:ext>
            </c:extLst>
          </c:dPt>
          <c:dPt>
            <c:idx val="3"/>
            <c:bubble3D val="0"/>
            <c:spPr>
              <a:solidFill>
                <a:srgbClr val="007E00"/>
              </a:solidFill>
              <a:ln w="0">
                <a:noFill/>
                <a:prstDash val="solid"/>
              </a:ln>
            </c:spPr>
            <c:extLst>
              <c:ext xmlns:c16="http://schemas.microsoft.com/office/drawing/2014/chart" uri="{C3380CC4-5D6E-409C-BE32-E72D297353CC}">
                <c16:uniqueId val="{00000007-0879-49C3-B3C9-1B1D72D895A6}"/>
              </c:ext>
            </c:extLst>
          </c:dPt>
          <c:dPt>
            <c:idx val="4"/>
            <c:bubble3D val="0"/>
            <c:spPr>
              <a:solidFill>
                <a:srgbClr val="4299B0"/>
              </a:solidFill>
              <a:ln w="0">
                <a:noFill/>
                <a:prstDash val="solid"/>
              </a:ln>
            </c:spPr>
            <c:extLst>
              <c:ext xmlns:c16="http://schemas.microsoft.com/office/drawing/2014/chart" uri="{C3380CC4-5D6E-409C-BE32-E72D297353CC}">
                <c16:uniqueId val="{00000009-0879-49C3-B3C9-1B1D72D895A6}"/>
              </c:ext>
            </c:extLst>
          </c:dPt>
          <c:dPt>
            <c:idx val="5"/>
            <c:bubble3D val="0"/>
            <c:spPr>
              <a:solidFill>
                <a:srgbClr val="DC853E"/>
              </a:solidFill>
              <a:ln w="0">
                <a:noFill/>
                <a:prstDash val="solid"/>
              </a:ln>
            </c:spPr>
            <c:extLst>
              <c:ext xmlns:c16="http://schemas.microsoft.com/office/drawing/2014/chart" uri="{C3380CC4-5D6E-409C-BE32-E72D297353CC}">
                <c16:uniqueId val="{0000000B-0879-49C3-B3C9-1B1D72D895A6}"/>
              </c:ext>
            </c:extLst>
          </c:dPt>
          <c:dPt>
            <c:idx val="6"/>
            <c:bubble3D val="0"/>
            <c:spPr>
              <a:solidFill>
                <a:srgbClr val="0070C0"/>
              </a:solidFill>
              <a:ln w="0">
                <a:noFill/>
                <a:prstDash val="solid"/>
              </a:ln>
            </c:spPr>
            <c:extLst>
              <c:ext xmlns:c16="http://schemas.microsoft.com/office/drawing/2014/chart" uri="{C3380CC4-5D6E-409C-BE32-E72D297353CC}">
                <c16:uniqueId val="{0000000D-0879-49C3-B3C9-1B1D72D895A6}"/>
              </c:ext>
            </c:extLst>
          </c:dPt>
          <c:dPt>
            <c:idx val="7"/>
            <c:bubble3D val="0"/>
            <c:spPr>
              <a:solidFill>
                <a:schemeClr val="tx1"/>
              </a:solidFill>
              <a:ln w="0">
                <a:noFill/>
                <a:prstDash val="solid"/>
              </a:ln>
            </c:spPr>
            <c:extLst>
              <c:ext xmlns:c16="http://schemas.microsoft.com/office/drawing/2014/chart" uri="{C3380CC4-5D6E-409C-BE32-E72D297353CC}">
                <c16:uniqueId val="{0000000F-0879-49C3-B3C9-1B1D72D895A6}"/>
              </c:ext>
            </c:extLst>
          </c:dPt>
          <c:dPt>
            <c:idx val="8"/>
            <c:bubble3D val="0"/>
            <c:spPr>
              <a:solidFill>
                <a:schemeClr val="accent6">
                  <a:lumMod val="60000"/>
                  <a:lumOff val="40000"/>
                </a:schemeClr>
              </a:solidFill>
              <a:ln w="0">
                <a:noFill/>
                <a:prstDash val="solid"/>
              </a:ln>
            </c:spPr>
            <c:extLst>
              <c:ext xmlns:c16="http://schemas.microsoft.com/office/drawing/2014/chart" uri="{C3380CC4-5D6E-409C-BE32-E72D297353CC}">
                <c16:uniqueId val="{00000011-0879-49C3-B3C9-1B1D72D895A6}"/>
              </c:ext>
            </c:extLst>
          </c:dPt>
          <c:dLbls>
            <c:dLbl>
              <c:idx val="0"/>
              <c:layout>
                <c:manualLayout>
                  <c:x val="7.9405521497325535E-2"/>
                  <c:y val="-0.11770618451000517"/>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0879-49C3-B3C9-1B1D72D895A6}"/>
                </c:ext>
              </c:extLst>
            </c:dLbl>
            <c:dLbl>
              <c:idx val="1"/>
              <c:layout>
                <c:manualLayout>
                  <c:x val="8.174097801195275E-2"/>
                  <c:y val="-0.17361662215225759"/>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0879-49C3-B3C9-1B1D72D895A6}"/>
                </c:ext>
              </c:extLst>
            </c:dLbl>
            <c:dLbl>
              <c:idx val="2"/>
              <c:layout>
                <c:manualLayout>
                  <c:x val="0.11677282573136108"/>
                  <c:y val="0.13830476679925605"/>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0879-49C3-B3C9-1B1D72D895A6}"/>
                </c:ext>
              </c:extLst>
            </c:dLbl>
            <c:dLbl>
              <c:idx val="3"/>
              <c:layout>
                <c:manualLayout>
                  <c:x val="7.0063695438816645E-2"/>
                  <c:y val="0.12064883912275516"/>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7-0879-49C3-B3C9-1B1D72D895A6}"/>
                </c:ext>
              </c:extLst>
            </c:dLbl>
            <c:dLbl>
              <c:idx val="4"/>
              <c:layout>
                <c:manualLayout>
                  <c:x val="-0.15881104299465107"/>
                  <c:y val="0.13536211218650582"/>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9-0879-49C3-B3C9-1B1D72D895A6}"/>
                </c:ext>
              </c:extLst>
            </c:dLbl>
            <c:dLbl>
              <c:idx val="5"/>
              <c:layout>
                <c:manualLayout>
                  <c:x val="-4.6709130292544431E-3"/>
                  <c:y val="0.16773131292675733"/>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B-0879-49C3-B3C9-1B1D72D895A6}"/>
                </c:ext>
              </c:extLst>
            </c:dLbl>
            <c:dLbl>
              <c:idx val="6"/>
              <c:layout>
                <c:manualLayout>
                  <c:x val="-9.8089173614343314E-2"/>
                  <c:y val="7.0623710706003082E-2"/>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D-0879-49C3-B3C9-1B1D72D895A6}"/>
                </c:ext>
              </c:extLst>
            </c:dLbl>
            <c:dLbl>
              <c:idx val="7"/>
              <c:layout>
                <c:manualLayout>
                  <c:x val="-0.11443736921673386"/>
                  <c:y val="-4.7082473804002059E-2"/>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F-0879-49C3-B3C9-1B1D72D895A6}"/>
                </c:ext>
              </c:extLst>
            </c:dLbl>
            <c:dLbl>
              <c:idx val="8"/>
              <c:layout>
                <c:manualLayout>
                  <c:x val="-6.3057325894934985E-2"/>
                  <c:y val="-0.11770618451000517"/>
                </c:manualLayout>
              </c:layout>
              <c:showLegendKey val="0"/>
              <c:showVal val="1"/>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11-0879-49C3-B3C9-1B1D72D895A6}"/>
                </c:ext>
              </c:extLst>
            </c:dLbl>
            <c:spPr>
              <a:solidFill>
                <a:srgbClr val="FFFFFF"/>
              </a:solidFill>
              <a:ln>
                <a:solidFill>
                  <a:srgbClr val="000000">
                    <a:lumMod val="65000"/>
                    <a:lumOff val="35000"/>
                  </a:srgbClr>
                </a:solidFill>
              </a:ln>
              <a:effectLst/>
            </c:spPr>
            <c:showLegendKey val="0"/>
            <c:showVal val="1"/>
            <c:showCatName val="0"/>
            <c:showSerName val="0"/>
            <c:showPercent val="1"/>
            <c:showBubbleSize val="1"/>
            <c:showLeaderLines val="1"/>
            <c:extLst>
              <c:ext xmlns:c15="http://schemas.microsoft.com/office/drawing/2012/chart" uri="{CE6537A1-D6FC-4f65-9D91-7224C49458BB}">
                <c15:spPr xmlns:c15="http://schemas.microsoft.com/office/drawing/2012/chart">
                  <a:prstGeom prst="wedgeRectCallout">
                    <a:avLst/>
                  </a:prstGeom>
                </c15:spPr>
              </c:ext>
            </c:extLst>
          </c:dLbls>
          <c:cat>
            <c:strRef>
              <c:f>Dashboard!$E$65:$E$73</c:f>
              <c:strCache>
                <c:ptCount val="9"/>
                <c:pt idx="0">
                  <c:v>Heat pump</c:v>
                </c:pt>
                <c:pt idx="1">
                  <c:v>Source HX</c:v>
                </c:pt>
                <c:pt idx="2">
                  <c:v>Building HX</c:v>
                </c:pt>
                <c:pt idx="3">
                  <c:v>Heat storage</c:v>
                </c:pt>
                <c:pt idx="4">
                  <c:v>Solar PV</c:v>
                </c:pt>
                <c:pt idx="5">
                  <c:v>Adsorption chiller</c:v>
                </c:pt>
                <c:pt idx="6">
                  <c:v>Pipework &amp; civils</c:v>
                </c:pt>
                <c:pt idx="7">
                  <c:v>Electrical</c:v>
                </c:pt>
                <c:pt idx="8">
                  <c:v>Soft costs</c:v>
                </c:pt>
              </c:strCache>
            </c:strRef>
          </c:cat>
          <c:val>
            <c:numRef>
              <c:f>Dashboard!$G$65:$G$73</c:f>
              <c:numCache>
                <c:formatCode>#,##0</c:formatCode>
                <c:ptCount val="9"/>
                <c:pt idx="0">
                  <c:v>252000</c:v>
                </c:pt>
                <c:pt idx="1">
                  <c:v>24004.32</c:v>
                </c:pt>
                <c:pt idx="2">
                  <c:v>0</c:v>
                </c:pt>
                <c:pt idx="3">
                  <c:v>0</c:v>
                </c:pt>
                <c:pt idx="4">
                  <c:v>80000</c:v>
                </c:pt>
                <c:pt idx="5">
                  <c:v>0</c:v>
                </c:pt>
                <c:pt idx="6">
                  <c:v>112500</c:v>
                </c:pt>
                <c:pt idx="7">
                  <c:v>60000</c:v>
                </c:pt>
                <c:pt idx="8">
                  <c:v>105930.77760000002</c:v>
                </c:pt>
              </c:numCache>
            </c:numRef>
          </c:val>
          <c:extLst>
            <c:ext xmlns:c16="http://schemas.microsoft.com/office/drawing/2014/chart" uri="{C3380CC4-5D6E-409C-BE32-E72D297353CC}">
              <c16:uniqueId val="{00000012-0879-49C3-B3C9-1B1D72D895A6}"/>
            </c:ext>
          </c:extLst>
        </c:ser>
        <c:dLbls>
          <c:showLegendKey val="0"/>
          <c:showVal val="0"/>
          <c:showCatName val="0"/>
          <c:showSerName val="0"/>
          <c:showPercent val="0"/>
          <c:showBubbleSize val="0"/>
          <c:showLeaderLines val="1"/>
        </c:dLbls>
        <c:firstSliceAng val="2"/>
        <c:holeSize val="50"/>
      </c:doughnutChart>
    </c:plotArea>
    <c:legend>
      <c:legendPos val="r"/>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OPEX Breakdown (yr 1)</a:t>
            </a:r>
          </a:p>
        </c:rich>
      </c:tx>
      <c:overlay val="0"/>
      <c:spPr>
        <a:noFill/>
        <a:ln w="0">
          <a:noFill/>
          <a:prstDash val="solid"/>
        </a:ln>
      </c:spPr>
    </c:title>
    <c:autoTitleDeleted val="0"/>
    <c:plotArea>
      <c:layout>
        <c:manualLayout>
          <c:layoutTarget val="inner"/>
          <c:xMode val="edge"/>
          <c:yMode val="edge"/>
          <c:x val="0.10044097519260209"/>
          <c:y val="0.24805633288340745"/>
          <c:w val="0.44786632204945809"/>
          <c:h val="0.61496480862723413"/>
        </c:manualLayout>
      </c:layout>
      <c:doughnutChart>
        <c:varyColors val="1"/>
        <c:ser>
          <c:idx val="0"/>
          <c:order val="0"/>
          <c:spPr>
            <a:solidFill>
              <a:srgbClr val="4F81BD"/>
            </a:solidFill>
            <a:ln w="0">
              <a:noFill/>
              <a:prstDash val="solid"/>
            </a:ln>
          </c:spPr>
          <c:explosion val="9"/>
          <c:dPt>
            <c:idx val="0"/>
            <c:bubble3D val="0"/>
            <c:explosion val="3"/>
            <c:spPr>
              <a:solidFill>
                <a:srgbClr val="A7E997"/>
              </a:solidFill>
              <a:ln>
                <a:prstDash val="solid"/>
              </a:ln>
            </c:spPr>
            <c:extLst>
              <c:ext xmlns:c16="http://schemas.microsoft.com/office/drawing/2014/chart" uri="{C3380CC4-5D6E-409C-BE32-E72D297353CC}">
                <c16:uniqueId val="{00000001-FAD1-4C27-A326-47752856349A}"/>
              </c:ext>
            </c:extLst>
          </c:dPt>
          <c:dPt>
            <c:idx val="1"/>
            <c:bubble3D val="0"/>
            <c:explosion val="3"/>
            <c:spPr>
              <a:solidFill>
                <a:schemeClr val="accent6">
                  <a:lumMod val="60000"/>
                  <a:lumOff val="40000"/>
                </a:schemeClr>
              </a:solidFill>
              <a:ln w="0">
                <a:noFill/>
                <a:prstDash val="solid"/>
              </a:ln>
            </c:spPr>
            <c:extLst>
              <c:ext xmlns:c16="http://schemas.microsoft.com/office/drawing/2014/chart" uri="{C3380CC4-5D6E-409C-BE32-E72D297353CC}">
                <c16:uniqueId val="{00000003-FAD1-4C27-A326-47752856349A}"/>
              </c:ext>
            </c:extLst>
          </c:dPt>
          <c:dPt>
            <c:idx val="2"/>
            <c:bubble3D val="0"/>
            <c:spPr>
              <a:solidFill>
                <a:srgbClr val="007E00"/>
              </a:solidFill>
              <a:ln w="0">
                <a:noFill/>
                <a:prstDash val="solid"/>
              </a:ln>
            </c:spPr>
            <c:extLst>
              <c:ext xmlns:c16="http://schemas.microsoft.com/office/drawing/2014/chart" uri="{C3380CC4-5D6E-409C-BE32-E72D297353CC}">
                <c16:uniqueId val="{00000005-FAD1-4C27-A326-47752856349A}"/>
              </c:ext>
            </c:extLst>
          </c:dPt>
          <c:dPt>
            <c:idx val="3"/>
            <c:bubble3D val="0"/>
            <c:explosion val="1"/>
            <c:spPr>
              <a:solidFill>
                <a:schemeClr val="accent5">
                  <a:lumMod val="40000"/>
                  <a:lumOff val="60000"/>
                </a:schemeClr>
              </a:solidFill>
              <a:ln w="0">
                <a:noFill/>
                <a:prstDash val="solid"/>
              </a:ln>
            </c:spPr>
            <c:extLst>
              <c:ext xmlns:c16="http://schemas.microsoft.com/office/drawing/2014/chart" uri="{C3380CC4-5D6E-409C-BE32-E72D297353CC}">
                <c16:uniqueId val="{00000007-FAD1-4C27-A326-47752856349A}"/>
              </c:ext>
            </c:extLst>
          </c:dPt>
          <c:dPt>
            <c:idx val="4"/>
            <c:bubble3D val="0"/>
            <c:spPr>
              <a:solidFill>
                <a:srgbClr val="4BACC6"/>
              </a:solidFill>
              <a:ln w="0">
                <a:noFill/>
                <a:prstDash val="solid"/>
              </a:ln>
            </c:spPr>
            <c:extLst>
              <c:ext xmlns:c16="http://schemas.microsoft.com/office/drawing/2014/chart" uri="{C3380CC4-5D6E-409C-BE32-E72D297353CC}">
                <c16:uniqueId val="{00000009-FAD1-4C27-A326-47752856349A}"/>
              </c:ext>
            </c:extLst>
          </c:dPt>
          <c:dLbls>
            <c:dLbl>
              <c:idx val="0"/>
              <c:layout>
                <c:manualLayout>
                  <c:x val="0.14886305290893048"/>
                  <c:y val="-0.15221326118968406"/>
                </c:manualLayout>
              </c:layout>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FAD1-4C27-A326-47752856349A}"/>
                </c:ext>
              </c:extLst>
            </c:dLbl>
            <c:dLbl>
              <c:idx val="1"/>
              <c:layout>
                <c:manualLayout>
                  <c:x val="0.10981700624429297"/>
                  <c:y val="0.116398376203876"/>
                </c:manualLayout>
              </c:layout>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FAD1-4C27-A326-47752856349A}"/>
                </c:ext>
              </c:extLst>
            </c:dLbl>
            <c:dLbl>
              <c:idx val="2"/>
              <c:layout>
                <c:manualLayout>
                  <c:x val="-7.565171541273516E-2"/>
                  <c:y val="0.14325953994323198"/>
                </c:manualLayout>
              </c:layout>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5-FAD1-4C27-A326-47752856349A}"/>
                </c:ext>
              </c:extLst>
            </c:dLbl>
            <c:dLbl>
              <c:idx val="3"/>
              <c:layout>
                <c:manualLayout>
                  <c:x val="-0.14886305290893051"/>
                  <c:y val="-7.1629769971616047E-2"/>
                </c:manualLayout>
              </c:layout>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7-FAD1-4C27-A326-47752856349A}"/>
                </c:ext>
              </c:extLst>
            </c:dLbl>
            <c:dLbl>
              <c:idx val="4"/>
              <c:layout>
                <c:manualLayout>
                  <c:x val="4.8807558330796873E-3"/>
                  <c:y val="-0.11042922870624136"/>
                </c:manualLayout>
              </c:layout>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9-FAD1-4C27-A326-47752856349A}"/>
                </c:ext>
              </c:extLst>
            </c:dLbl>
            <c:spPr>
              <a:solidFill>
                <a:srgbClr val="FFFFFF"/>
              </a:solidFill>
              <a:ln>
                <a:solidFill>
                  <a:srgbClr val="000000">
                    <a:lumMod val="65000"/>
                    <a:lumOff val="35000"/>
                  </a:srgbClr>
                </a:solidFill>
              </a:ln>
              <a:effectLst/>
            </c:spPr>
            <c:showLegendKey val="0"/>
            <c:showVal val="1"/>
            <c:showCatName val="1"/>
            <c:showSerName val="0"/>
            <c:showPercent val="0"/>
            <c:showBubbleSize val="1"/>
            <c:showLeaderLines val="1"/>
            <c:extLst>
              <c:ext xmlns:c15="http://schemas.microsoft.com/office/drawing/2012/chart" uri="{CE6537A1-D6FC-4f65-9D91-7224C49458BB}">
                <c15:spPr xmlns:c15="http://schemas.microsoft.com/office/drawing/2012/chart">
                  <a:prstGeom prst="wedgeRectCallout">
                    <a:avLst/>
                  </a:prstGeom>
                </c15:spPr>
              </c:ext>
            </c:extLst>
          </c:dLbls>
          <c:cat>
            <c:strRef>
              <c:f>Dashboard!$E$76:$E$80</c:f>
              <c:strCache>
                <c:ptCount val="5"/>
                <c:pt idx="0">
                  <c:v>Heat pump electricity</c:v>
                </c:pt>
                <c:pt idx="1">
                  <c:v>Pumping electricity</c:v>
                </c:pt>
                <c:pt idx="2">
                  <c:v>Cleaning &amp; O&amp;M</c:v>
                </c:pt>
                <c:pt idx="3">
                  <c:v>Compressor provision</c:v>
                </c:pt>
                <c:pt idx="4">
                  <c:v>Feedstock</c:v>
                </c:pt>
              </c:strCache>
            </c:strRef>
          </c:cat>
          <c:val>
            <c:numRef>
              <c:f>Dashboard!$G$76:$G$80</c:f>
              <c:numCache>
                <c:formatCode>#,##0</c:formatCode>
                <c:ptCount val="5"/>
                <c:pt idx="0">
                  <c:v>25508.541875701623</c:v>
                </c:pt>
                <c:pt idx="1">
                  <c:v>6367.2479999999996</c:v>
                </c:pt>
                <c:pt idx="2">
                  <c:v>18981.752561247878</c:v>
                </c:pt>
                <c:pt idx="3">
                  <c:v>8746.9093088639984</c:v>
                </c:pt>
                <c:pt idx="4">
                  <c:v>0</c:v>
                </c:pt>
              </c:numCache>
            </c:numRef>
          </c:val>
          <c:extLst>
            <c:ext xmlns:c16="http://schemas.microsoft.com/office/drawing/2014/chart" uri="{C3380CC4-5D6E-409C-BE32-E72D297353CC}">
              <c16:uniqueId val="{0000000A-FAD1-4C27-A326-47752856349A}"/>
            </c:ext>
          </c:extLst>
        </c:ser>
        <c:dLbls>
          <c:showLegendKey val="0"/>
          <c:showVal val="0"/>
          <c:showCatName val="0"/>
          <c:showSerName val="0"/>
          <c:showPercent val="0"/>
          <c:showBubbleSize val="0"/>
          <c:showLeaderLines val="1"/>
        </c:dLbls>
        <c:firstSliceAng val="0"/>
        <c:holeSize val="50"/>
      </c:doughnutChart>
    </c:plotArea>
    <c:legend>
      <c:legendPos val="r"/>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Energy Balance</a:t>
            </a:r>
          </a:p>
        </c:rich>
      </c:tx>
      <c:overlay val="0"/>
      <c:spPr>
        <a:noFill/>
        <a:ln w="0">
          <a:noFill/>
          <a:prstDash val="solid"/>
        </a:ln>
      </c:spPr>
    </c:title>
    <c:autoTitleDeleted val="0"/>
    <c:plotArea>
      <c:layout/>
      <c:areaChart>
        <c:grouping val="stacked"/>
        <c:varyColors val="1"/>
        <c:ser>
          <c:idx val="0"/>
          <c:order val="0"/>
          <c:tx>
            <c:strRef>
              <c:f>Dashboard!$E$83</c:f>
              <c:strCache>
                <c:ptCount val="1"/>
                <c:pt idx="0">
                  <c:v>Heat delivered (system)</c:v>
                </c:pt>
              </c:strCache>
            </c:strRef>
          </c:tx>
          <c:spPr>
            <a:solidFill>
              <a:srgbClr val="A7E997"/>
            </a:solidFill>
            <a:ln w="0">
              <a:noFill/>
              <a:prstDash val="solid"/>
            </a:ln>
          </c:spPr>
          <c:dLbls>
            <c:spPr>
              <a:noFill/>
              <a:ln>
                <a:noFill/>
                <a:prstDash val="solid"/>
              </a:ln>
            </c:spPr>
            <c:txPr>
              <a:bodyPr/>
              <a:lstStyle/>
              <a:p>
                <a:pPr>
                  <a:defRPr sz="1000" b="0" strike="noStrike" spc="-1">
                    <a:latin typeface="Arial"/>
                  </a:defRPr>
                </a:pPr>
                <a:endParaRPr lang="en-K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Dashboard!$K$62:$AG$62</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Dashboard!$F$83:$AG$83</c:f>
              <c:numCache>
                <c:formatCode>General</c:formatCode>
                <c:ptCount val="28"/>
                <c:pt idx="5" formatCode="#,##0;\(#,##0\);\-">
                  <c:v>0</c:v>
                </c:pt>
                <c:pt idx="6" formatCode="#,##0;\(#,##0\);\-">
                  <c:v>0</c:v>
                </c:pt>
                <c:pt idx="7" formatCode="#,##0;\(#,##0\);\-">
                  <c:v>0</c:v>
                </c:pt>
                <c:pt idx="8" formatCode="#,##0;\(#,##0\);\-">
                  <c:v>1643.2978612800002</c:v>
                </c:pt>
                <c:pt idx="9" formatCode="#,##0;\(#,##0\);\-">
                  <c:v>1640.0112655574403</c:v>
                </c:pt>
                <c:pt idx="10" formatCode="#,##0;\(#,##0\);\-">
                  <c:v>1636.7312430263253</c:v>
                </c:pt>
                <c:pt idx="11" formatCode="#,##0;\(#,##0\);\-">
                  <c:v>1633.4577805402728</c:v>
                </c:pt>
                <c:pt idx="12" formatCode="#,##0;\(#,##0\);\-">
                  <c:v>1630.1908649791922</c:v>
                </c:pt>
                <c:pt idx="13" formatCode="#,##0;\(#,##0\);\-">
                  <c:v>1626.9304832492337</c:v>
                </c:pt>
                <c:pt idx="14" formatCode="#,##0;\(#,##0\);\-">
                  <c:v>1623.6766222827353</c:v>
                </c:pt>
                <c:pt idx="15" formatCode="#,##0;\(#,##0\);\-">
                  <c:v>1620.4292690381699</c:v>
                </c:pt>
                <c:pt idx="16" formatCode="#,##0;\(#,##0\);\-">
                  <c:v>1617.1884105000936</c:v>
                </c:pt>
                <c:pt idx="17" formatCode="#,##0;\(#,##0\);\-">
                  <c:v>1613.9540336790933</c:v>
                </c:pt>
                <c:pt idx="18" formatCode="#,##0;\(#,##0\);\-">
                  <c:v>1610.7261256117351</c:v>
                </c:pt>
                <c:pt idx="19" formatCode="#,##0;\(#,##0\);\-">
                  <c:v>1607.5046733605118</c:v>
                </c:pt>
                <c:pt idx="20" formatCode="#,##0;\(#,##0\);\-">
                  <c:v>1604.2896640137908</c:v>
                </c:pt>
                <c:pt idx="21" formatCode="#,##0;\(#,##0\);\-">
                  <c:v>1601.081084685763</c:v>
                </c:pt>
                <c:pt idx="22" formatCode="#,##0;\(#,##0\);\-">
                  <c:v>1597.8789225163916</c:v>
                </c:pt>
                <c:pt idx="23" formatCode="#,##0;\(#,##0\);\-">
                  <c:v>1594.683164671359</c:v>
                </c:pt>
                <c:pt idx="24" formatCode="#,##0;\(#,##0\);\-">
                  <c:v>1591.4937983420161</c:v>
                </c:pt>
                <c:pt idx="25" formatCode="#,##0;\(#,##0\);\-">
                  <c:v>1588.3108107453322</c:v>
                </c:pt>
                <c:pt idx="26" formatCode="#,##0;\(#,##0\);\-">
                  <c:v>1585.1341891238415</c:v>
                </c:pt>
                <c:pt idx="27" formatCode="#,##0;\(#,##0\);\-">
                  <c:v>1581.9639207455939</c:v>
                </c:pt>
              </c:numCache>
            </c:numRef>
          </c:val>
          <c:extLst>
            <c:ext xmlns:c16="http://schemas.microsoft.com/office/drawing/2014/chart" uri="{C3380CC4-5D6E-409C-BE32-E72D297353CC}">
              <c16:uniqueId val="{00000000-D45E-41CD-86AD-03D809C212C9}"/>
            </c:ext>
          </c:extLst>
        </c:ser>
        <c:ser>
          <c:idx val="1"/>
          <c:order val="1"/>
          <c:tx>
            <c:strRef>
              <c:f>Dashboard!$E$84</c:f>
              <c:strCache>
                <c:ptCount val="1"/>
                <c:pt idx="0">
                  <c:v>Backup boiler</c:v>
                </c:pt>
              </c:strCache>
            </c:strRef>
          </c:tx>
          <c:spPr>
            <a:solidFill>
              <a:srgbClr val="007E00"/>
            </a:solidFill>
            <a:ln w="0">
              <a:noFill/>
              <a:prstDash val="solid"/>
            </a:ln>
          </c:spPr>
          <c:dLbls>
            <c:spPr>
              <a:noFill/>
              <a:ln>
                <a:noFill/>
                <a:prstDash val="solid"/>
              </a:ln>
            </c:spPr>
            <c:txPr>
              <a:bodyPr/>
              <a:lstStyle/>
              <a:p>
                <a:pPr>
                  <a:defRPr sz="1000" b="0" strike="noStrike" spc="-1">
                    <a:latin typeface="Arial"/>
                  </a:defRPr>
                </a:pPr>
                <a:endParaRPr lang="en-K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Dashboard!$K$62:$AG$62</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Dashboard!$F$84:$AG$84</c:f>
              <c:numCache>
                <c:formatCode>General</c:formatCode>
                <c:ptCount val="28"/>
                <c:pt idx="5" formatCode="#,##0;\(#,##0\);\-">
                  <c:v>0</c:v>
                </c:pt>
                <c:pt idx="6" formatCode="#,##0;\(#,##0\);\-">
                  <c:v>0</c:v>
                </c:pt>
                <c:pt idx="7" formatCode="#,##0;\(#,##0\);\-">
                  <c:v>0</c:v>
                </c:pt>
                <c:pt idx="8" formatCode="#,##0;\(#,##0\);\-">
                  <c:v>256.70213871999977</c:v>
                </c:pt>
                <c:pt idx="9" formatCode="#,##0;\(#,##0\);\-">
                  <c:v>259.98873444255969</c:v>
                </c:pt>
                <c:pt idx="10" formatCode="#,##0;\(#,##0\);\-">
                  <c:v>263.26875697367473</c:v>
                </c:pt>
                <c:pt idx="11" formatCode="#,##0;\(#,##0\);\-">
                  <c:v>266.54221945972722</c:v>
                </c:pt>
                <c:pt idx="12" formatCode="#,##0;\(#,##0\);\-">
                  <c:v>269.80913502080784</c:v>
                </c:pt>
                <c:pt idx="13" formatCode="#,##0;\(#,##0\);\-">
                  <c:v>273.0695167507663</c:v>
                </c:pt>
                <c:pt idx="14" formatCode="#,##0;\(#,##0\);\-">
                  <c:v>276.32337771726475</c:v>
                </c:pt>
                <c:pt idx="15" formatCode="#,##0;\(#,##0\);\-">
                  <c:v>279.57073096183012</c:v>
                </c:pt>
                <c:pt idx="16" formatCode="#,##0;\(#,##0\);\-">
                  <c:v>282.8115894999064</c:v>
                </c:pt>
                <c:pt idx="17" formatCode="#,##0;\(#,##0\);\-">
                  <c:v>286.0459663209067</c:v>
                </c:pt>
                <c:pt idx="18" formatCode="#,##0;\(#,##0\);\-">
                  <c:v>289.27387438826486</c:v>
                </c:pt>
                <c:pt idx="19" formatCode="#,##0;\(#,##0\);\-">
                  <c:v>292.49532663948821</c:v>
                </c:pt>
                <c:pt idx="20" formatCode="#,##0;\(#,##0\);\-">
                  <c:v>295.7103359862092</c:v>
                </c:pt>
                <c:pt idx="21" formatCode="#,##0;\(#,##0\);\-">
                  <c:v>298.91891531423698</c:v>
                </c:pt>
                <c:pt idx="22" formatCode="#,##0;\(#,##0\);\-">
                  <c:v>302.12107748360836</c:v>
                </c:pt>
                <c:pt idx="23" formatCode="#,##0;\(#,##0\);\-">
                  <c:v>305.31683532864099</c:v>
                </c:pt>
                <c:pt idx="24" formatCode="#,##0;\(#,##0\);\-">
                  <c:v>308.50620165798387</c:v>
                </c:pt>
                <c:pt idx="25" formatCode="#,##0;\(#,##0\);\-">
                  <c:v>311.68918925466778</c:v>
                </c:pt>
                <c:pt idx="26" formatCode="#,##0;\(#,##0\);\-">
                  <c:v>314.86581087615855</c:v>
                </c:pt>
                <c:pt idx="27" formatCode="#,##0;\(#,##0\);\-">
                  <c:v>318.0360792544061</c:v>
                </c:pt>
              </c:numCache>
            </c:numRef>
          </c:val>
          <c:extLst>
            <c:ext xmlns:c16="http://schemas.microsoft.com/office/drawing/2014/chart" uri="{C3380CC4-5D6E-409C-BE32-E72D297353CC}">
              <c16:uniqueId val="{00000001-D45E-41CD-86AD-03D809C212C9}"/>
            </c:ext>
          </c:extLst>
        </c:ser>
        <c:dLbls>
          <c:showLegendKey val="0"/>
          <c:showVal val="0"/>
          <c:showCatName val="0"/>
          <c:showSerName val="0"/>
          <c:showPercent val="0"/>
          <c:showBubbleSize val="0"/>
        </c:dLbls>
        <c:axId val="10"/>
        <c:axId val="100"/>
      </c:areaChart>
      <c:catAx>
        <c:axId val="10"/>
        <c:scaling>
          <c:orientation val="minMax"/>
        </c:scaling>
        <c:delete val="1"/>
        <c:axPos val="b"/>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midCat"/>
      </c:valAx>
    </c:plotArea>
    <c:legend>
      <c:legendPos val="r"/>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Avoided Cost &amp; Revenue</a:t>
            </a:r>
          </a:p>
        </c:rich>
      </c:tx>
      <c:overlay val="0"/>
      <c:spPr>
        <a:noFill/>
        <a:ln w="0">
          <a:noFill/>
          <a:prstDash val="solid"/>
        </a:ln>
      </c:spPr>
    </c:title>
    <c:autoTitleDeleted val="0"/>
    <c:plotArea>
      <c:layout/>
      <c:barChart>
        <c:barDir val="col"/>
        <c:grouping val="stacked"/>
        <c:varyColors val="0"/>
        <c:ser>
          <c:idx val="0"/>
          <c:order val="0"/>
          <c:tx>
            <c:strRef>
              <c:f>Dashboard!$E$87</c:f>
              <c:strCache>
                <c:ptCount val="1"/>
                <c:pt idx="0">
                  <c:v>Avoided cost</c:v>
                </c:pt>
              </c:strCache>
            </c:strRef>
          </c:tx>
          <c:spPr>
            <a:solidFill>
              <a:srgbClr val="007E00"/>
            </a:solidFill>
          </c:spPr>
          <c:invertIfNegative val="0"/>
          <c:dLbls>
            <c:dLbl>
              <c:idx val="3"/>
              <c:layout>
                <c:manualLayout>
                  <c:x val="-4.6528742369987129E-2"/>
                  <c:y val="-1.0988024896015413E-1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BEF-4870-ABC3-490B6113EB5E}"/>
                </c:ext>
              </c:extLst>
            </c:dLbl>
            <c:dLbl>
              <c:idx val="22"/>
              <c:layout>
                <c:manualLayout>
                  <c:x val="8.0919551947803703E-2"/>
                  <c:y val="-5.99353736215453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BEF-4870-ABC3-490B6113EB5E}"/>
                </c:ext>
              </c:extLst>
            </c:dLbl>
            <c:spPr>
              <a:solidFill>
                <a:srgbClr val="FFFFFF"/>
              </a:solidFill>
              <a:ln>
                <a:solidFill>
                  <a:srgbClr val="000000">
                    <a:lumMod val="65000"/>
                    <a:lumOff val="35000"/>
                  </a:srgbClr>
                </a:solid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15:showLeaderLines val="0"/>
              </c:ext>
            </c:extLst>
          </c:dLbls>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Dashboard!$K$87:$AG$87</c:f>
              <c:numCache>
                <c:formatCode>#,##0;\(#,##0\);\-</c:formatCode>
                <c:ptCount val="23"/>
                <c:pt idx="0">
                  <c:v>0</c:v>
                </c:pt>
                <c:pt idx="1">
                  <c:v>0</c:v>
                </c:pt>
                <c:pt idx="2">
                  <c:v>0</c:v>
                </c:pt>
                <c:pt idx="3">
                  <c:v>65841.451208973405</c:v>
                </c:pt>
                <c:pt idx="4">
                  <c:v>67681.061355752114</c:v>
                </c:pt>
                <c:pt idx="5">
                  <c:v>69572.070210031816</c:v>
                </c:pt>
                <c:pt idx="6">
                  <c:v>71515.913851700112</c:v>
                </c:pt>
                <c:pt idx="7">
                  <c:v>73514.068484716612</c:v>
                </c:pt>
                <c:pt idx="8">
                  <c:v>75568.051558179592</c:v>
                </c:pt>
                <c:pt idx="9">
                  <c:v>77679.422918715121</c:v>
                </c:pt>
                <c:pt idx="10">
                  <c:v>79849.785995064027</c:v>
                </c:pt>
                <c:pt idx="11">
                  <c:v>82080.789015766131</c:v>
                </c:pt>
                <c:pt idx="12">
                  <c:v>84374.1262608666</c:v>
                </c:pt>
                <c:pt idx="13">
                  <c:v>86731.539348595223</c:v>
                </c:pt>
                <c:pt idx="14">
                  <c:v>89154.818557994979</c:v>
                </c:pt>
                <c:pt idx="15">
                  <c:v>91645.804188505368</c:v>
                </c:pt>
                <c:pt idx="16">
                  <c:v>94206.387957532192</c:v>
                </c:pt>
                <c:pt idx="17">
                  <c:v>96838.514437065649</c:v>
                </c:pt>
                <c:pt idx="18">
                  <c:v>99544.182530437261</c:v>
                </c:pt>
                <c:pt idx="19">
                  <c:v>102325.44699033769</c:v>
                </c:pt>
                <c:pt idx="20">
                  <c:v>105184.4199792477</c:v>
                </c:pt>
                <c:pt idx="21">
                  <c:v>108123.27267346786</c:v>
                </c:pt>
                <c:pt idx="22">
                  <c:v>111144.23691196457</c:v>
                </c:pt>
              </c:numCache>
            </c:numRef>
          </c:val>
          <c:extLst>
            <c:ext xmlns:c16="http://schemas.microsoft.com/office/drawing/2014/chart" uri="{C3380CC4-5D6E-409C-BE32-E72D297353CC}">
              <c16:uniqueId val="{00000000-9BEF-4870-ABC3-490B6113EB5E}"/>
            </c:ext>
          </c:extLst>
        </c:ser>
        <c:ser>
          <c:idx val="1"/>
          <c:order val="1"/>
          <c:tx>
            <c:strRef>
              <c:f>Dashboard!$E$88</c:f>
              <c:strCache>
                <c:ptCount val="1"/>
                <c:pt idx="0">
                  <c:v>Revenue (sales)</c:v>
                </c:pt>
              </c:strCache>
            </c:strRef>
          </c:tx>
          <c:spPr>
            <a:solidFill>
              <a:srgbClr val="A7E997"/>
            </a:solidFill>
          </c:spPr>
          <c:invertIfNegative val="0"/>
          <c:dLbls>
            <c:dLbl>
              <c:idx val="3"/>
              <c:layout>
                <c:manualLayout>
                  <c:x val="-5.2597708766072407E-2"/>
                  <c:y val="-0.13185782196739987"/>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BEF-4870-ABC3-490B6113EB5E}"/>
                </c:ext>
              </c:extLst>
            </c:dLbl>
            <c:dLbl>
              <c:idx val="22"/>
              <c:layout>
                <c:manualLayout>
                  <c:x val="6.8781619155633147E-2"/>
                  <c:y val="-0.17980612086463618"/>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BEF-4870-ABC3-490B6113EB5E}"/>
                </c:ext>
              </c:extLst>
            </c:dLbl>
            <c:spPr>
              <a:solidFill>
                <a:srgbClr val="FFFFFF"/>
              </a:solidFill>
              <a:ln>
                <a:solidFill>
                  <a:srgbClr val="000000">
                    <a:lumMod val="65000"/>
                    <a:lumOff val="35000"/>
                  </a:srgbClr>
                </a:solid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15:showLeaderLines val="0"/>
              </c:ext>
            </c:extLst>
          </c:dLbls>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Dashboard!$K$88:$AG$88</c:f>
              <c:numCache>
                <c:formatCode>#,##0;\(#,##0\);\-</c:formatCode>
                <c:ptCount val="23"/>
                <c:pt idx="0">
                  <c:v>0</c:v>
                </c:pt>
                <c:pt idx="1">
                  <c:v>0</c:v>
                </c:pt>
                <c:pt idx="2">
                  <c:v>0</c:v>
                </c:pt>
                <c:pt idx="3">
                  <c:v>62359.942261887321</c:v>
                </c:pt>
                <c:pt idx="4">
                  <c:v>64034.871116524453</c:v>
                </c:pt>
                <c:pt idx="5">
                  <c:v>65755.249324716948</c:v>
                </c:pt>
                <c:pt idx="6">
                  <c:v>67522.319778230274</c:v>
                </c:pt>
                <c:pt idx="7">
                  <c:v>69337.359555962379</c:v>
                </c:pt>
                <c:pt idx="8">
                  <c:v>71201.680868346884</c:v>
                </c:pt>
                <c:pt idx="9">
                  <c:v>73116.632027927233</c:v>
                </c:pt>
                <c:pt idx="10">
                  <c:v>75083.598446828633</c:v>
                </c:pt>
                <c:pt idx="11">
                  <c:v>77104.003661874958</c:v>
                </c:pt>
                <c:pt idx="12">
                  <c:v>79179.310388118523</c:v>
                </c:pt>
                <c:pt idx="13">
                  <c:v>81311.02160157192</c:v>
                </c:pt>
                <c:pt idx="14">
                  <c:v>83500.681651953433</c:v>
                </c:pt>
                <c:pt idx="15">
                  <c:v>85749.877406279251</c:v>
                </c:pt>
                <c:pt idx="16">
                  <c:v>88060.239424160332</c:v>
                </c:pt>
                <c:pt idx="17">
                  <c:v>90433.443165684002</c:v>
                </c:pt>
                <c:pt idx="18">
                  <c:v>92871.210232786136</c:v>
                </c:pt>
                <c:pt idx="19">
                  <c:v>95375.309645044137</c:v>
                </c:pt>
                <c:pt idx="20">
                  <c:v>97947.559150847694</c:v>
                </c:pt>
                <c:pt idx="21">
                  <c:v>100589.82657492983</c:v>
                </c:pt>
                <c:pt idx="22">
                  <c:v>103304.03120326898</c:v>
                </c:pt>
              </c:numCache>
            </c:numRef>
          </c:val>
          <c:extLst>
            <c:ext xmlns:c16="http://schemas.microsoft.com/office/drawing/2014/chart" uri="{C3380CC4-5D6E-409C-BE32-E72D297353CC}">
              <c16:uniqueId val="{00000001-9BEF-4870-ABC3-490B6113EB5E}"/>
            </c:ext>
          </c:extLst>
        </c:ser>
        <c:dLbls>
          <c:showLegendKey val="0"/>
          <c:showVal val="0"/>
          <c:showCatName val="0"/>
          <c:showSerName val="0"/>
          <c:showPercent val="0"/>
          <c:showBubbleSize val="0"/>
        </c:dLbls>
        <c:gapWidth val="150"/>
        <c:overlap val="100"/>
        <c:axId val="20974747"/>
        <c:axId val="53917952"/>
      </c:barChart>
      <c:catAx>
        <c:axId val="20974747"/>
        <c:scaling>
          <c:orientation val="minMax"/>
        </c:scaling>
        <c:delete val="0"/>
        <c:axPos val="b"/>
        <c:numFmt formatCode="0" sourceLinked="1"/>
        <c:majorTickMark val="none"/>
        <c:minorTickMark val="none"/>
        <c:tickLblPos val="nextTo"/>
        <c:spPr>
          <a:ln w="0">
            <a:solidFill>
              <a:srgbClr val="B3B3B3"/>
            </a:solidFill>
            <a:prstDash val="solid"/>
          </a:ln>
        </c:spPr>
        <c:txPr>
          <a:bodyPr/>
          <a:lstStyle/>
          <a:p>
            <a:pPr>
              <a:defRPr sz="1000" b="0" strike="noStrike" spc="-1">
                <a:solidFill>
                  <a:srgbClr val="000000"/>
                </a:solidFill>
                <a:latin typeface="Calibri"/>
              </a:defRPr>
            </a:pPr>
            <a:endParaRPr lang="en-KE"/>
          </a:p>
        </c:txPr>
        <c:crossAx val="53917952"/>
        <c:crosses val="autoZero"/>
        <c:auto val="1"/>
        <c:lblAlgn val="ctr"/>
        <c:lblOffset val="100"/>
        <c:noMultiLvlLbl val="0"/>
      </c:catAx>
      <c:valAx>
        <c:axId val="53917952"/>
        <c:scaling>
          <c:orientation val="minMax"/>
        </c:scaling>
        <c:delete val="0"/>
        <c:axPos val="l"/>
        <c:majorGridlines>
          <c:spPr>
            <a:ln w="0">
              <a:solidFill>
                <a:srgbClr val="B3B3B3"/>
              </a:solidFill>
              <a:prstDash val="solid"/>
            </a:ln>
          </c:spPr>
        </c:majorGridlines>
        <c:numFmt formatCode="#,##0;\(#,##0\);\-" sourceLinked="1"/>
        <c:majorTickMark val="none"/>
        <c:minorTickMark val="none"/>
        <c:tickLblPos val="nextTo"/>
        <c:spPr>
          <a:ln w="0">
            <a:solidFill>
              <a:srgbClr val="B3B3B3"/>
            </a:solidFill>
            <a:prstDash val="solid"/>
          </a:ln>
        </c:spPr>
        <c:txPr>
          <a:bodyPr/>
          <a:lstStyle/>
          <a:p>
            <a:pPr>
              <a:defRPr sz="1000" b="0" strike="noStrike" spc="-1">
                <a:solidFill>
                  <a:srgbClr val="000000"/>
                </a:solidFill>
                <a:latin typeface="Calibri"/>
              </a:defRPr>
            </a:pPr>
            <a:endParaRPr lang="en-KE"/>
          </a:p>
        </c:txPr>
        <c:crossAx val="20974747"/>
        <c:crosses val="autoZero"/>
        <c:crossBetween val="between"/>
      </c:valAx>
    </c:plotArea>
    <c:legend>
      <c:legendPos val="r"/>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de-DE">
                <a:solidFill>
                  <a:sysClr val="windowText" lastClr="000000"/>
                </a:solidFill>
              </a:rPr>
              <a:t>EBITDA vs Net Income</a:t>
            </a:r>
          </a:p>
        </c:rich>
      </c:tx>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KE"/>
        </a:p>
      </c:txPr>
    </c:title>
    <c:autoTitleDeleted val="0"/>
    <c:plotArea>
      <c:layout/>
      <c:lineChart>
        <c:grouping val="standard"/>
        <c:varyColors val="0"/>
        <c:ser>
          <c:idx val="0"/>
          <c:order val="0"/>
          <c:tx>
            <c:strRef>
              <c:f>Dashboard!$E$91</c:f>
              <c:strCache>
                <c:ptCount val="1"/>
                <c:pt idx="0">
                  <c:v>EBITDA</c:v>
                </c:pt>
              </c:strCache>
            </c:strRef>
          </c:tx>
          <c:spPr>
            <a:ln w="31750" cap="rnd">
              <a:solidFill>
                <a:srgbClr val="A7E997"/>
              </a:solidFill>
              <a:round/>
            </a:ln>
            <a:effectLst/>
          </c:spPr>
          <c:marker>
            <c:symbol val="none"/>
          </c:marker>
          <c:dLbls>
            <c:dLbl>
              <c:idx val="21"/>
              <c:layout>
                <c:manualLayout>
                  <c:x val="-3.5143762895270651E-2"/>
                  <c:y val="-5.2589649133179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F1-4134-859E-5D9FE85FB423}"/>
                </c:ext>
              </c:extLst>
            </c:dLbl>
            <c:spPr>
              <a:solidFill>
                <a:srgbClr val="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2">
                        <a:lumMod val="75000"/>
                      </a:schemeClr>
                    </a:solidFill>
                    <a:latin typeface="+mn-lt"/>
                    <a:ea typeface="+mn-ea"/>
                    <a:cs typeface="+mn-cs"/>
                  </a:defRPr>
                </a:pPr>
                <a:endParaRPr lang="en-KE"/>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Dashboard!$K$91:$AG$91</c:f>
              <c:numCache>
                <c:formatCode>#,##0;\(#,##0\);\-</c:formatCode>
                <c:ptCount val="23"/>
                <c:pt idx="0">
                  <c:v>0</c:v>
                </c:pt>
                <c:pt idx="1">
                  <c:v>0</c:v>
                </c:pt>
                <c:pt idx="2">
                  <c:v>0</c:v>
                </c:pt>
                <c:pt idx="3">
                  <c:v>68596.941725047218</c:v>
                </c:pt>
                <c:pt idx="4">
                  <c:v>70545.095744079095</c:v>
                </c:pt>
                <c:pt idx="5">
                  <c:v>72548.131453004884</c:v>
                </c:pt>
                <c:pt idx="6">
                  <c:v>74607.582445353226</c:v>
                </c:pt>
                <c:pt idx="7">
                  <c:v>76725.024824754102</c:v>
                </c:pt>
                <c:pt idx="8">
                  <c:v>78902.078373805969</c:v>
                </c:pt>
                <c:pt idx="9">
                  <c:v>81140.407754818749</c:v>
                </c:pt>
                <c:pt idx="10">
                  <c:v>83441.723743293682</c:v>
                </c:pt>
                <c:pt idx="11">
                  <c:v>85807.784495025597</c:v>
                </c:pt>
                <c:pt idx="12">
                  <c:v>88240.396847735639</c:v>
                </c:pt>
                <c:pt idx="13">
                  <c:v>90741.417658167891</c:v>
                </c:pt>
                <c:pt idx="14">
                  <c:v>93312.755175607221</c:v>
                </c:pt>
                <c:pt idx="15">
                  <c:v>95956.370452801973</c:v>
                </c:pt>
                <c:pt idx="16">
                  <c:v>98674.278795301463</c:v>
                </c:pt>
                <c:pt idx="17">
                  <c:v>101468.55125024536</c:v>
                </c:pt>
                <c:pt idx="18">
                  <c:v>104341.31613566855</c:v>
                </c:pt>
                <c:pt idx="19">
                  <c:v>107294.76061141508</c:v>
                </c:pt>
                <c:pt idx="20">
                  <c:v>110331.13229278354</c:v>
                </c:pt>
                <c:pt idx="21">
                  <c:v>113452.74090805593</c:v>
                </c:pt>
                <c:pt idx="22">
                  <c:v>116661.96000109207</c:v>
                </c:pt>
              </c:numCache>
            </c:numRef>
          </c:val>
          <c:smooth val="0"/>
          <c:extLst>
            <c:ext xmlns:c16="http://schemas.microsoft.com/office/drawing/2014/chart" uri="{C3380CC4-5D6E-409C-BE32-E72D297353CC}">
              <c16:uniqueId val="{00000002-885D-400F-A40B-E25CD4755E3F}"/>
            </c:ext>
          </c:extLst>
        </c:ser>
        <c:ser>
          <c:idx val="1"/>
          <c:order val="1"/>
          <c:tx>
            <c:strRef>
              <c:f>Dashboard!$E$92</c:f>
              <c:strCache>
                <c:ptCount val="1"/>
                <c:pt idx="0">
                  <c:v>Net income</c:v>
                </c:pt>
              </c:strCache>
            </c:strRef>
          </c:tx>
          <c:spPr>
            <a:ln w="31750" cap="rnd">
              <a:solidFill>
                <a:srgbClr val="007E00"/>
              </a:solidFill>
              <a:round/>
            </a:ln>
            <a:effectLst/>
          </c:spPr>
          <c:marker>
            <c:symbol val="none"/>
          </c:marker>
          <c:dLbls>
            <c:dLbl>
              <c:idx val="21"/>
              <c:layout>
                <c:manualLayout>
                  <c:x val="-4.6858350527029021E-3"/>
                  <c:y val="4.966800195911396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F1-4134-859E-5D9FE85FB423}"/>
                </c:ext>
              </c:extLst>
            </c:dLbl>
            <c:spPr>
              <a:solidFill>
                <a:srgbClr val="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2">
                        <a:lumMod val="75000"/>
                      </a:schemeClr>
                    </a:solidFill>
                    <a:latin typeface="+mn-lt"/>
                    <a:ea typeface="+mn-ea"/>
                    <a:cs typeface="+mn-cs"/>
                  </a:defRPr>
                </a:pPr>
                <a:endParaRPr lang="en-KE"/>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Dashboard!$K$92:$AG$92</c:f>
              <c:numCache>
                <c:formatCode>#,##0;\(#,##0\);\-</c:formatCode>
                <c:ptCount val="23"/>
                <c:pt idx="0">
                  <c:v>0</c:v>
                </c:pt>
                <c:pt idx="1">
                  <c:v>0</c:v>
                </c:pt>
                <c:pt idx="2">
                  <c:v>0</c:v>
                </c:pt>
                <c:pt idx="3">
                  <c:v>13074.456435301225</c:v>
                </c:pt>
                <c:pt idx="4">
                  <c:v>18571.278511939548</c:v>
                </c:pt>
                <c:pt idx="5">
                  <c:v>23652.988403702238</c:v>
                </c:pt>
                <c:pt idx="6">
                  <c:v>28429.502863276997</c:v>
                </c:pt>
                <c:pt idx="7">
                  <c:v>32989.967584673286</c:v>
                </c:pt>
                <c:pt idx="8">
                  <c:v>37406.972869628611</c:v>
                </c:pt>
                <c:pt idx="9">
                  <c:v>41739.929533409733</c:v>
                </c:pt>
                <c:pt idx="10">
                  <c:v>46037.773195787639</c:v>
                </c:pt>
                <c:pt idx="11">
                  <c:v>50341.131485191538</c:v>
                </c:pt>
                <c:pt idx="12">
                  <c:v>54684.061790501735</c:v>
                </c:pt>
                <c:pt idx="13">
                  <c:v>56457.348025801839</c:v>
                </c:pt>
                <c:pt idx="14">
                  <c:v>57019.223484038295</c:v>
                </c:pt>
                <c:pt idx="15">
                  <c:v>61017.754974566087</c:v>
                </c:pt>
                <c:pt idx="16">
                  <c:v>65179.463649818019</c:v>
                </c:pt>
                <c:pt idx="17">
                  <c:v>69511.968392408991</c:v>
                </c:pt>
                <c:pt idx="18">
                  <c:v>84580.773855251624</c:v>
                </c:pt>
                <c:pt idx="19">
                  <c:v>87268.408328181016</c:v>
                </c:pt>
                <c:pt idx="20">
                  <c:v>90031.506558226305</c:v>
                </c:pt>
                <c:pt idx="21">
                  <c:v>92872.170398124174</c:v>
                </c:pt>
                <c:pt idx="22">
                  <c:v>95792.559772787092</c:v>
                </c:pt>
              </c:numCache>
            </c:numRef>
          </c:val>
          <c:smooth val="0"/>
          <c:extLst>
            <c:ext xmlns:c16="http://schemas.microsoft.com/office/drawing/2014/chart" uri="{C3380CC4-5D6E-409C-BE32-E72D297353CC}">
              <c16:uniqueId val="{00000003-885D-400F-A40B-E25CD4755E3F}"/>
            </c:ext>
          </c:extLst>
        </c:ser>
        <c:dLbls>
          <c:showLegendKey val="0"/>
          <c:showVal val="0"/>
          <c:showCatName val="0"/>
          <c:showSerName val="0"/>
          <c:showPercent val="0"/>
          <c:showBubbleSize val="0"/>
        </c:dLbls>
        <c:hiLowLines>
          <c:spPr>
            <a:ln w="9525">
              <a:solidFill>
                <a:schemeClr val="tx2">
                  <a:lumMod val="60000"/>
                  <a:lumOff val="40000"/>
                </a:schemeClr>
              </a:solidFill>
              <a:prstDash val="dash"/>
            </a:ln>
            <a:effectLst/>
          </c:spPr>
        </c:hiLowLines>
        <c:smooth val="0"/>
        <c:axId val="3745441"/>
        <c:axId val="29058823"/>
      </c:lineChart>
      <c:catAx>
        <c:axId val="3745441"/>
        <c:scaling>
          <c:orientation val="minMax"/>
        </c:scaling>
        <c:delete val="0"/>
        <c:axPos val="b"/>
        <c:numFmt formatCode="0"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2"/>
                </a:solidFill>
                <a:latin typeface="+mn-lt"/>
                <a:ea typeface="+mn-ea"/>
                <a:cs typeface="+mn-cs"/>
              </a:defRPr>
            </a:pPr>
            <a:endParaRPr lang="en-KE"/>
          </a:p>
        </c:txPr>
        <c:crossAx val="29058823"/>
        <c:crosses val="autoZero"/>
        <c:auto val="1"/>
        <c:lblAlgn val="ctr"/>
        <c:lblOffset val="100"/>
        <c:noMultiLvlLbl val="0"/>
      </c:catAx>
      <c:valAx>
        <c:axId val="29058823"/>
        <c:scaling>
          <c:orientation val="minMax"/>
        </c:scaling>
        <c:delete val="0"/>
        <c:axPos val="l"/>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2"/>
                </a:solidFill>
                <a:latin typeface="+mn-lt"/>
                <a:ea typeface="+mn-ea"/>
                <a:cs typeface="+mn-cs"/>
              </a:defRPr>
            </a:pPr>
            <a:endParaRPr lang="en-KE"/>
          </a:p>
        </c:txPr>
        <c:crossAx val="374544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KE"/>
        </a:p>
      </c:txPr>
    </c:legend>
    <c:plotVisOnly val="1"/>
    <c:dispBlanksAs val="gap"/>
    <c:showDLblsOverMax val="1"/>
  </c:chart>
  <c:spPr>
    <a:solidFill>
      <a:schemeClr val="bg1"/>
    </a:solidFill>
    <a:ln w="9525" cap="flat" cmpd="sng" algn="ctr">
      <a:solidFill>
        <a:schemeClr val="tx2">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Cash Position</a:t>
            </a:r>
          </a:p>
        </c:rich>
      </c:tx>
      <c:overlay val="0"/>
      <c:spPr>
        <a:noFill/>
        <a:ln w="0">
          <a:noFill/>
          <a:prstDash val="solid"/>
        </a:ln>
      </c:spPr>
    </c:title>
    <c:autoTitleDeleted val="0"/>
    <c:plotArea>
      <c:layout/>
      <c:areaChart>
        <c:grouping val="standard"/>
        <c:varyColors val="1"/>
        <c:ser>
          <c:idx val="0"/>
          <c:order val="0"/>
          <c:tx>
            <c:strRef>
              <c:f>Dashboard!$E$95</c:f>
              <c:strCache>
                <c:ptCount val="1"/>
                <c:pt idx="0">
                  <c:v>Cash position</c:v>
                </c:pt>
              </c:strCache>
            </c:strRef>
          </c:tx>
          <c:spPr>
            <a:solidFill>
              <a:srgbClr val="CEF6D9"/>
            </a:solidFill>
            <a:ln w="25400">
              <a:noFill/>
            </a:ln>
          </c:spPr>
          <c:dLbls>
            <c:dLbl>
              <c:idx val="0"/>
              <c:delete val="1"/>
              <c:extLst>
                <c:ext xmlns:c15="http://schemas.microsoft.com/office/drawing/2012/chart" uri="{CE6537A1-D6FC-4f65-9D91-7224C49458BB}"/>
                <c:ext xmlns:c16="http://schemas.microsoft.com/office/drawing/2014/chart" uri="{C3380CC4-5D6E-409C-BE32-E72D297353CC}">
                  <c16:uniqueId val="{00000016-4AFC-43CE-811D-E90621992BFD}"/>
                </c:ext>
              </c:extLst>
            </c:dLbl>
            <c:dLbl>
              <c:idx val="1"/>
              <c:delete val="1"/>
              <c:extLst>
                <c:ext xmlns:c15="http://schemas.microsoft.com/office/drawing/2012/chart" uri="{CE6537A1-D6FC-4f65-9D91-7224C49458BB}"/>
                <c:ext xmlns:c16="http://schemas.microsoft.com/office/drawing/2014/chart" uri="{C3380CC4-5D6E-409C-BE32-E72D297353CC}">
                  <c16:uniqueId val="{00000015-4AFC-43CE-811D-E90621992BFD}"/>
                </c:ext>
              </c:extLst>
            </c:dLbl>
            <c:dLbl>
              <c:idx val="2"/>
              <c:delete val="1"/>
              <c:extLst>
                <c:ext xmlns:c15="http://schemas.microsoft.com/office/drawing/2012/chart" uri="{CE6537A1-D6FC-4f65-9D91-7224C49458BB}"/>
                <c:ext xmlns:c16="http://schemas.microsoft.com/office/drawing/2014/chart" uri="{C3380CC4-5D6E-409C-BE32-E72D297353CC}">
                  <c16:uniqueId val="{00000014-4AFC-43CE-811D-E90621992BFD}"/>
                </c:ext>
              </c:extLst>
            </c:dLbl>
            <c:dLbl>
              <c:idx val="3"/>
              <c:layout>
                <c:manualLayout>
                  <c:x val="-4.8404859771692954E-3"/>
                  <c:y val="-5.89665074880501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AFC-43CE-811D-E90621992BFD}"/>
                </c:ext>
              </c:extLst>
            </c:dLbl>
            <c:dLbl>
              <c:idx val="4"/>
              <c:delete val="1"/>
              <c:extLst>
                <c:ext xmlns:c15="http://schemas.microsoft.com/office/drawing/2012/chart" uri="{CE6537A1-D6FC-4f65-9D91-7224C49458BB}"/>
                <c:ext xmlns:c16="http://schemas.microsoft.com/office/drawing/2014/chart" uri="{C3380CC4-5D6E-409C-BE32-E72D297353CC}">
                  <c16:uniqueId val="{00000012-4AFC-43CE-811D-E90621992BFD}"/>
                </c:ext>
              </c:extLst>
            </c:dLbl>
            <c:dLbl>
              <c:idx val="5"/>
              <c:delete val="1"/>
              <c:extLst>
                <c:ext xmlns:c15="http://schemas.microsoft.com/office/drawing/2012/chart" uri="{CE6537A1-D6FC-4f65-9D91-7224C49458BB}"/>
                <c:ext xmlns:c16="http://schemas.microsoft.com/office/drawing/2014/chart" uri="{C3380CC4-5D6E-409C-BE32-E72D297353CC}">
                  <c16:uniqueId val="{00000011-4AFC-43CE-811D-E90621992BFD}"/>
                </c:ext>
              </c:extLst>
            </c:dLbl>
            <c:dLbl>
              <c:idx val="6"/>
              <c:delete val="1"/>
              <c:extLst>
                <c:ext xmlns:c15="http://schemas.microsoft.com/office/drawing/2012/chart" uri="{CE6537A1-D6FC-4f65-9D91-7224C49458BB}"/>
                <c:ext xmlns:c16="http://schemas.microsoft.com/office/drawing/2014/chart" uri="{C3380CC4-5D6E-409C-BE32-E72D297353CC}">
                  <c16:uniqueId val="{00000010-4AFC-43CE-811D-E90621992BFD}"/>
                </c:ext>
              </c:extLst>
            </c:dLbl>
            <c:dLbl>
              <c:idx val="7"/>
              <c:delete val="1"/>
              <c:extLst>
                <c:ext xmlns:c15="http://schemas.microsoft.com/office/drawing/2012/chart" uri="{CE6537A1-D6FC-4f65-9D91-7224C49458BB}"/>
                <c:ext xmlns:c16="http://schemas.microsoft.com/office/drawing/2014/chart" uri="{C3380CC4-5D6E-409C-BE32-E72D297353CC}">
                  <c16:uniqueId val="{0000000F-4AFC-43CE-811D-E90621992BFD}"/>
                </c:ext>
              </c:extLst>
            </c:dLbl>
            <c:dLbl>
              <c:idx val="8"/>
              <c:delete val="1"/>
              <c:extLst>
                <c:ext xmlns:c15="http://schemas.microsoft.com/office/drawing/2012/chart" uri="{CE6537A1-D6FC-4f65-9D91-7224C49458BB}"/>
                <c:ext xmlns:c16="http://schemas.microsoft.com/office/drawing/2014/chart" uri="{C3380CC4-5D6E-409C-BE32-E72D297353CC}">
                  <c16:uniqueId val="{0000000E-4AFC-43CE-811D-E90621992BFD}"/>
                </c:ext>
              </c:extLst>
            </c:dLbl>
            <c:dLbl>
              <c:idx val="9"/>
              <c:layout>
                <c:manualLayout>
                  <c:x val="-5.3245345748862249E-2"/>
                  <c:y val="-7.960478510886749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AFC-43CE-811D-E90621992BFD}"/>
                </c:ext>
              </c:extLst>
            </c:dLbl>
            <c:dLbl>
              <c:idx val="10"/>
              <c:delete val="1"/>
              <c:extLst>
                <c:ext xmlns:c15="http://schemas.microsoft.com/office/drawing/2012/chart" uri="{CE6537A1-D6FC-4f65-9D91-7224C49458BB}"/>
                <c:ext xmlns:c16="http://schemas.microsoft.com/office/drawing/2014/chart" uri="{C3380CC4-5D6E-409C-BE32-E72D297353CC}">
                  <c16:uniqueId val="{0000000C-4AFC-43CE-811D-E90621992BFD}"/>
                </c:ext>
              </c:extLst>
            </c:dLbl>
            <c:dLbl>
              <c:idx val="11"/>
              <c:delete val="1"/>
              <c:extLst>
                <c:ext xmlns:c15="http://schemas.microsoft.com/office/drawing/2012/chart" uri="{CE6537A1-D6FC-4f65-9D91-7224C49458BB}"/>
                <c:ext xmlns:c16="http://schemas.microsoft.com/office/drawing/2014/chart" uri="{C3380CC4-5D6E-409C-BE32-E72D297353CC}">
                  <c16:uniqueId val="{0000000B-4AFC-43CE-811D-E90621992BFD}"/>
                </c:ext>
              </c:extLst>
            </c:dLbl>
            <c:dLbl>
              <c:idx val="12"/>
              <c:delete val="1"/>
              <c:extLst>
                <c:ext xmlns:c15="http://schemas.microsoft.com/office/drawing/2012/chart" uri="{CE6537A1-D6FC-4f65-9D91-7224C49458BB}"/>
                <c:ext xmlns:c16="http://schemas.microsoft.com/office/drawing/2014/chart" uri="{C3380CC4-5D6E-409C-BE32-E72D297353CC}">
                  <c16:uniqueId val="{0000000A-4AFC-43CE-811D-E90621992BFD}"/>
                </c:ext>
              </c:extLst>
            </c:dLbl>
            <c:dLbl>
              <c:idx val="13"/>
              <c:layout>
                <c:manualLayout>
                  <c:x val="-7.2607289657539431E-2"/>
                  <c:y val="-0.126777991099307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AFC-43CE-811D-E90621992BFD}"/>
                </c:ext>
              </c:extLst>
            </c:dLbl>
            <c:dLbl>
              <c:idx val="14"/>
              <c:delete val="1"/>
              <c:extLst>
                <c:ext xmlns:c15="http://schemas.microsoft.com/office/drawing/2012/chart" uri="{CE6537A1-D6FC-4f65-9D91-7224C49458BB}"/>
                <c:ext xmlns:c16="http://schemas.microsoft.com/office/drawing/2014/chart" uri="{C3380CC4-5D6E-409C-BE32-E72D297353CC}">
                  <c16:uniqueId val="{00000008-4AFC-43CE-811D-E90621992BFD}"/>
                </c:ext>
              </c:extLst>
            </c:dLbl>
            <c:dLbl>
              <c:idx val="15"/>
              <c:delete val="1"/>
              <c:extLst>
                <c:ext xmlns:c15="http://schemas.microsoft.com/office/drawing/2012/chart" uri="{CE6537A1-D6FC-4f65-9D91-7224C49458BB}"/>
                <c:ext xmlns:c16="http://schemas.microsoft.com/office/drawing/2014/chart" uri="{C3380CC4-5D6E-409C-BE32-E72D297353CC}">
                  <c16:uniqueId val="{00000007-4AFC-43CE-811D-E90621992BFD}"/>
                </c:ext>
              </c:extLst>
            </c:dLbl>
            <c:dLbl>
              <c:idx val="16"/>
              <c:layout>
                <c:manualLayout>
                  <c:x val="-5.8085831726031545E-2"/>
                  <c:y val="-0.18279617321295499"/>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AFC-43CE-811D-E90621992BFD}"/>
                </c:ext>
              </c:extLst>
            </c:dLbl>
            <c:dLbl>
              <c:idx val="17"/>
              <c:delete val="1"/>
              <c:extLst>
                <c:ext xmlns:c15="http://schemas.microsoft.com/office/drawing/2012/chart" uri="{CE6537A1-D6FC-4f65-9D91-7224C49458BB}"/>
                <c:ext xmlns:c16="http://schemas.microsoft.com/office/drawing/2014/chart" uri="{C3380CC4-5D6E-409C-BE32-E72D297353CC}">
                  <c16:uniqueId val="{00000005-4AFC-43CE-811D-E90621992BFD}"/>
                </c:ext>
              </c:extLst>
            </c:dLbl>
            <c:dLbl>
              <c:idx val="18"/>
              <c:delete val="1"/>
              <c:extLst>
                <c:ext xmlns:c15="http://schemas.microsoft.com/office/drawing/2012/chart" uri="{CE6537A1-D6FC-4f65-9D91-7224C49458BB}"/>
                <c:ext xmlns:c16="http://schemas.microsoft.com/office/drawing/2014/chart" uri="{C3380CC4-5D6E-409C-BE32-E72D297353CC}">
                  <c16:uniqueId val="{00000004-4AFC-43CE-811D-E90621992BFD}"/>
                </c:ext>
              </c:extLst>
            </c:dLbl>
            <c:dLbl>
              <c:idx val="19"/>
              <c:layout>
                <c:manualLayout>
                  <c:x val="-9.4389476554801344E-2"/>
                  <c:y val="-0.22112440308018755"/>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AFC-43CE-811D-E90621992BFD}"/>
                </c:ext>
              </c:extLst>
            </c:dLbl>
            <c:dLbl>
              <c:idx val="20"/>
              <c:delete val="1"/>
              <c:extLst>
                <c:ext xmlns:c15="http://schemas.microsoft.com/office/drawing/2012/chart" uri="{CE6537A1-D6FC-4f65-9D91-7224C49458BB}"/>
                <c:ext xmlns:c16="http://schemas.microsoft.com/office/drawing/2014/chart" uri="{C3380CC4-5D6E-409C-BE32-E72D297353CC}">
                  <c16:uniqueId val="{00000002-4AFC-43CE-811D-E90621992BFD}"/>
                </c:ext>
              </c:extLst>
            </c:dLbl>
            <c:dLbl>
              <c:idx val="21"/>
              <c:delete val="1"/>
              <c:extLst>
                <c:ext xmlns:c15="http://schemas.microsoft.com/office/drawing/2012/chart" uri="{CE6537A1-D6FC-4f65-9D91-7224C49458BB}"/>
                <c:ext xmlns:c16="http://schemas.microsoft.com/office/drawing/2014/chart" uri="{C3380CC4-5D6E-409C-BE32-E72D297353CC}">
                  <c16:uniqueId val="{00000001-4AFC-43CE-811D-E90621992BFD}"/>
                </c:ext>
              </c:extLst>
            </c:dLbl>
            <c:dLbl>
              <c:idx val="22"/>
              <c:layout>
                <c:manualLayout>
                  <c:x val="-5.8085831726031545E-2"/>
                  <c:y val="-0.33610909268188499"/>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AFC-43CE-811D-E90621992BFD}"/>
                </c:ext>
              </c:extLst>
            </c:dLbl>
            <c:spPr>
              <a:solidFill>
                <a:srgbClr val="FFFFFF"/>
              </a:solidFill>
              <a:ln>
                <a:solidFill>
                  <a:srgbClr val="000000">
                    <a:lumMod val="65000"/>
                    <a:lumOff val="35000"/>
                  </a:srgb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numRef>
              <c:f>Dashboard!$K$62:$AG$62</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Dashboard!$K$95:$AG$95</c:f>
              <c:numCache>
                <c:formatCode>#,##0;\(#,##0\);\-</c:formatCode>
                <c:ptCount val="23"/>
                <c:pt idx="0">
                  <c:v>0</c:v>
                </c:pt>
                <c:pt idx="1">
                  <c:v>0</c:v>
                </c:pt>
                <c:pt idx="2">
                  <c:v>-1.4551915228366852E-11</c:v>
                </c:pt>
                <c:pt idx="3">
                  <c:v>31540.320083005783</c:v>
                </c:pt>
                <c:pt idx="4">
                  <c:v>65246.351443439671</c:v>
                </c:pt>
                <c:pt idx="5">
                  <c:v>100955.1322402739</c:v>
                </c:pt>
                <c:pt idx="6">
                  <c:v>138723.0697421112</c:v>
                </c:pt>
                <c:pt idx="7">
                  <c:v>178608.14712507231</c:v>
                </c:pt>
                <c:pt idx="8">
                  <c:v>220669.96714783562</c:v>
                </c:pt>
                <c:pt idx="9">
                  <c:v>264969.79702737433</c:v>
                </c:pt>
                <c:pt idx="10">
                  <c:v>311570.61454812915</c:v>
                </c:pt>
                <c:pt idx="11">
                  <c:v>360537.15543824021</c:v>
                </c:pt>
                <c:pt idx="12">
                  <c:v>411935.96204736986</c:v>
                </c:pt>
                <c:pt idx="13">
                  <c:v>463197.33570655895</c:v>
                </c:pt>
                <c:pt idx="14">
                  <c:v>513086.89331765869</c:v>
                </c:pt>
                <c:pt idx="15">
                  <c:v>564998.60877365759</c:v>
                </c:pt>
                <c:pt idx="16">
                  <c:v>619035.75108853146</c:v>
                </c:pt>
                <c:pt idx="17">
                  <c:v>675293.88166834763</c:v>
                </c:pt>
                <c:pt idx="18">
                  <c:v>770692.82034602982</c:v>
                </c:pt>
                <c:pt idx="19">
                  <c:v>868686.560701999</c:v>
                </c:pt>
                <c:pt idx="20">
                  <c:v>969369.03835934796</c:v>
                </c:pt>
                <c:pt idx="21">
                  <c:v>1072832.5939393635</c:v>
                </c:pt>
                <c:pt idx="22">
                  <c:v>1179168.7704492477</c:v>
                </c:pt>
              </c:numCache>
            </c:numRef>
          </c:val>
          <c:extLst>
            <c:ext xmlns:c16="http://schemas.microsoft.com/office/drawing/2014/chart" uri="{C3380CC4-5D6E-409C-BE32-E72D297353CC}">
              <c16:uniqueId val="{00000001-755E-4EBF-9D8E-08969E2B62B0}"/>
            </c:ext>
          </c:extLst>
        </c:ser>
        <c:dLbls>
          <c:showLegendKey val="0"/>
          <c:showVal val="0"/>
          <c:showCatName val="0"/>
          <c:showSerName val="0"/>
          <c:showPercent val="0"/>
          <c:showBubbleSize val="0"/>
        </c:dLbls>
        <c:axId val="10"/>
        <c:axId val="100"/>
      </c:areaChart>
      <c:catAx>
        <c:axId val="10"/>
        <c:scaling>
          <c:orientation val="minMax"/>
        </c:scaling>
        <c:delete val="0"/>
        <c:axPos val="b"/>
        <c:numFmt formatCode="0" sourceLinked="0"/>
        <c:majorTickMark val="out"/>
        <c:minorTickMark val="none"/>
        <c:tickLblPos val="nextTo"/>
        <c:txPr>
          <a:bodyPr/>
          <a:lstStyle/>
          <a:p>
            <a:pPr>
              <a:defRPr sz="600"/>
            </a:pPr>
            <a:endParaRPr lang="en-KE"/>
          </a:p>
        </c:txPr>
        <c:crossAx val="100"/>
        <c:crosses val="autoZero"/>
        <c:auto val="1"/>
        <c:lblAlgn val="ctr"/>
        <c:lblOffset val="100"/>
        <c:noMultiLvlLbl val="1"/>
      </c:catAx>
      <c:valAx>
        <c:axId val="100"/>
        <c:scaling>
          <c:orientation val="minMax"/>
        </c:scaling>
        <c:delete val="0"/>
        <c:axPos val="l"/>
        <c:majorGridlines/>
        <c:numFmt formatCode="#,##0;\(#,##0\);\-" sourceLinked="1"/>
        <c:majorTickMark val="out"/>
        <c:minorTickMark val="none"/>
        <c:tickLblPos val="nextTo"/>
        <c:txPr>
          <a:bodyPr/>
          <a:lstStyle/>
          <a:p>
            <a:pPr>
              <a:defRPr sz="700"/>
            </a:pPr>
            <a:endParaRPr lang="en-KE"/>
          </a:p>
        </c:txPr>
        <c:crossAx val="10"/>
        <c:crosses val="autoZero"/>
        <c:crossBetween val="midCat"/>
      </c:valAx>
    </c:plotArea>
    <c:legend>
      <c:legendPos val="b"/>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Cumulative Free Cash Flow</a:t>
            </a:r>
          </a:p>
        </c:rich>
      </c:tx>
      <c:overlay val="0"/>
      <c:spPr>
        <a:noFill/>
        <a:ln w="0">
          <a:noFill/>
          <a:prstDash val="solid"/>
        </a:ln>
      </c:spPr>
    </c:title>
    <c:autoTitleDeleted val="0"/>
    <c:plotArea>
      <c:layout/>
      <c:areaChart>
        <c:grouping val="standard"/>
        <c:varyColors val="1"/>
        <c:ser>
          <c:idx val="1"/>
          <c:order val="0"/>
          <c:tx>
            <c:strRef>
              <c:f>Dashboard!$E$98</c:f>
              <c:strCache>
                <c:ptCount val="1"/>
                <c:pt idx="0">
                  <c:v>Cumulative FCF</c:v>
                </c:pt>
              </c:strCache>
            </c:strRef>
          </c:tx>
          <c:spPr>
            <a:solidFill>
              <a:srgbClr val="A7E997"/>
            </a:solidFill>
            <a:ln w="25400">
              <a:noFill/>
            </a:ln>
          </c:spPr>
          <c:dLbls>
            <c:dLbl>
              <c:idx val="0"/>
              <c:delete val="1"/>
              <c:extLst>
                <c:ext xmlns:c15="http://schemas.microsoft.com/office/drawing/2012/chart" uri="{CE6537A1-D6FC-4f65-9D91-7224C49458BB}"/>
                <c:ext xmlns:c16="http://schemas.microsoft.com/office/drawing/2014/chart" uri="{C3380CC4-5D6E-409C-BE32-E72D297353CC}">
                  <c16:uniqueId val="{00000016-49A0-4A4E-839C-46DABDAFC519}"/>
                </c:ext>
              </c:extLst>
            </c:dLbl>
            <c:dLbl>
              <c:idx val="1"/>
              <c:delete val="1"/>
              <c:extLst>
                <c:ext xmlns:c15="http://schemas.microsoft.com/office/drawing/2012/chart" uri="{CE6537A1-D6FC-4f65-9D91-7224C49458BB}"/>
                <c:ext xmlns:c16="http://schemas.microsoft.com/office/drawing/2014/chart" uri="{C3380CC4-5D6E-409C-BE32-E72D297353CC}">
                  <c16:uniqueId val="{00000015-49A0-4A4E-839C-46DABDAFC519}"/>
                </c:ext>
              </c:extLst>
            </c:dLbl>
            <c:dLbl>
              <c:idx val="2"/>
              <c:layout>
                <c:manualLayout>
                  <c:x val="2.1956094380778494E-2"/>
                  <c:y val="0.22201700055848045"/>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9A0-4A4E-839C-46DABDAFC519}"/>
                </c:ext>
              </c:extLst>
            </c:dLbl>
            <c:dLbl>
              <c:idx val="3"/>
              <c:delete val="1"/>
              <c:extLst>
                <c:ext xmlns:c15="http://schemas.microsoft.com/office/drawing/2012/chart" uri="{CE6537A1-D6FC-4f65-9D91-7224C49458BB}"/>
                <c:ext xmlns:c16="http://schemas.microsoft.com/office/drawing/2014/chart" uri="{C3380CC4-5D6E-409C-BE32-E72D297353CC}">
                  <c16:uniqueId val="{00000013-49A0-4A4E-839C-46DABDAFC519}"/>
                </c:ext>
              </c:extLst>
            </c:dLbl>
            <c:dLbl>
              <c:idx val="4"/>
              <c:delete val="1"/>
              <c:extLst>
                <c:ext xmlns:c15="http://schemas.microsoft.com/office/drawing/2012/chart" uri="{CE6537A1-D6FC-4f65-9D91-7224C49458BB}"/>
                <c:ext xmlns:c16="http://schemas.microsoft.com/office/drawing/2014/chart" uri="{C3380CC4-5D6E-409C-BE32-E72D297353CC}">
                  <c16:uniqueId val="{00000012-49A0-4A4E-839C-46DABDAFC519}"/>
                </c:ext>
              </c:extLst>
            </c:dLbl>
            <c:dLbl>
              <c:idx val="5"/>
              <c:delete val="1"/>
              <c:extLst>
                <c:ext xmlns:c15="http://schemas.microsoft.com/office/drawing/2012/chart" uri="{CE6537A1-D6FC-4f65-9D91-7224C49458BB}"/>
                <c:ext xmlns:c16="http://schemas.microsoft.com/office/drawing/2014/chart" uri="{C3380CC4-5D6E-409C-BE32-E72D297353CC}">
                  <c16:uniqueId val="{00000011-49A0-4A4E-839C-46DABDAFC519}"/>
                </c:ext>
              </c:extLst>
            </c:dLbl>
            <c:dLbl>
              <c:idx val="6"/>
              <c:delete val="1"/>
              <c:extLst>
                <c:ext xmlns:c15="http://schemas.microsoft.com/office/drawing/2012/chart" uri="{CE6537A1-D6FC-4f65-9D91-7224C49458BB}"/>
                <c:ext xmlns:c16="http://schemas.microsoft.com/office/drawing/2014/chart" uri="{C3380CC4-5D6E-409C-BE32-E72D297353CC}">
                  <c16:uniqueId val="{00000010-49A0-4A4E-839C-46DABDAFC519}"/>
                </c:ext>
              </c:extLst>
            </c:dLbl>
            <c:dLbl>
              <c:idx val="7"/>
              <c:layout>
                <c:manualLayout>
                  <c:x val="6.1477064266179784E-2"/>
                  <c:y val="0.12728974698686218"/>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9A0-4A4E-839C-46DABDAFC519}"/>
                </c:ext>
              </c:extLst>
            </c:dLbl>
            <c:dLbl>
              <c:idx val="8"/>
              <c:delete val="1"/>
              <c:extLst>
                <c:ext xmlns:c15="http://schemas.microsoft.com/office/drawing/2012/chart" uri="{CE6537A1-D6FC-4f65-9D91-7224C49458BB}"/>
                <c:ext xmlns:c16="http://schemas.microsoft.com/office/drawing/2014/chart" uri="{C3380CC4-5D6E-409C-BE32-E72D297353CC}">
                  <c16:uniqueId val="{0000000E-49A0-4A4E-839C-46DABDAFC519}"/>
                </c:ext>
              </c:extLst>
            </c:dLbl>
            <c:dLbl>
              <c:idx val="9"/>
              <c:delete val="1"/>
              <c:extLst>
                <c:ext xmlns:c15="http://schemas.microsoft.com/office/drawing/2012/chart" uri="{CE6537A1-D6FC-4f65-9D91-7224C49458BB}"/>
                <c:ext xmlns:c16="http://schemas.microsoft.com/office/drawing/2014/chart" uri="{C3380CC4-5D6E-409C-BE32-E72D297353CC}">
                  <c16:uniqueId val="{0000000D-49A0-4A4E-839C-46DABDAFC519}"/>
                </c:ext>
              </c:extLst>
            </c:dLbl>
            <c:dLbl>
              <c:idx val="10"/>
              <c:layout>
                <c:manualLayout>
                  <c:x val="6.5868283142335476E-2"/>
                  <c:y val="6.80852135046006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9A0-4A4E-839C-46DABDAFC519}"/>
                </c:ext>
              </c:extLst>
            </c:dLbl>
            <c:dLbl>
              <c:idx val="11"/>
              <c:delete val="1"/>
              <c:extLst>
                <c:ext xmlns:c15="http://schemas.microsoft.com/office/drawing/2012/chart" uri="{CE6537A1-D6FC-4f65-9D91-7224C49458BB}"/>
                <c:ext xmlns:c16="http://schemas.microsoft.com/office/drawing/2014/chart" uri="{C3380CC4-5D6E-409C-BE32-E72D297353CC}">
                  <c16:uniqueId val="{0000000B-49A0-4A4E-839C-46DABDAFC519}"/>
                </c:ext>
              </c:extLst>
            </c:dLbl>
            <c:dLbl>
              <c:idx val="12"/>
              <c:delete val="1"/>
              <c:extLst>
                <c:ext xmlns:c15="http://schemas.microsoft.com/office/drawing/2012/chart" uri="{CE6537A1-D6FC-4f65-9D91-7224C49458BB}"/>
                <c:ext xmlns:c16="http://schemas.microsoft.com/office/drawing/2014/chart" uri="{C3380CC4-5D6E-409C-BE32-E72D297353CC}">
                  <c16:uniqueId val="{0000000A-49A0-4A4E-839C-46DABDAFC519}"/>
                </c:ext>
              </c:extLst>
            </c:dLbl>
            <c:dLbl>
              <c:idx val="13"/>
              <c:layout>
                <c:manualLayout>
                  <c:x val="-8.7824377523114776E-3"/>
                  <c:y val="-7.40056668528268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9A0-4A4E-839C-46DABDAFC519}"/>
                </c:ext>
              </c:extLst>
            </c:dLbl>
            <c:dLbl>
              <c:idx val="14"/>
              <c:delete val="1"/>
              <c:extLst>
                <c:ext xmlns:c15="http://schemas.microsoft.com/office/drawing/2012/chart" uri="{CE6537A1-D6FC-4f65-9D91-7224C49458BB}"/>
                <c:ext xmlns:c16="http://schemas.microsoft.com/office/drawing/2014/chart" uri="{C3380CC4-5D6E-409C-BE32-E72D297353CC}">
                  <c16:uniqueId val="{00000008-49A0-4A4E-839C-46DABDAFC519}"/>
                </c:ext>
              </c:extLst>
            </c:dLbl>
            <c:dLbl>
              <c:idx val="15"/>
              <c:delete val="1"/>
              <c:extLst>
                <c:ext xmlns:c15="http://schemas.microsoft.com/office/drawing/2012/chart" uri="{CE6537A1-D6FC-4f65-9D91-7224C49458BB}"/>
                <c:ext xmlns:c16="http://schemas.microsoft.com/office/drawing/2014/chart" uri="{C3380CC4-5D6E-409C-BE32-E72D297353CC}">
                  <c16:uniqueId val="{00000007-49A0-4A4E-839C-46DABDAFC519}"/>
                </c:ext>
              </c:extLst>
            </c:dLbl>
            <c:dLbl>
              <c:idx val="16"/>
              <c:layout>
                <c:manualLayout>
                  <c:x val="-3.5129751009245667E-2"/>
                  <c:y val="-0.1065681602680707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9A0-4A4E-839C-46DABDAFC519}"/>
                </c:ext>
              </c:extLst>
            </c:dLbl>
            <c:dLbl>
              <c:idx val="17"/>
              <c:delete val="1"/>
              <c:extLst>
                <c:ext xmlns:c15="http://schemas.microsoft.com/office/drawing/2012/chart" uri="{CE6537A1-D6FC-4f65-9D91-7224C49458BB}"/>
                <c:ext xmlns:c16="http://schemas.microsoft.com/office/drawing/2014/chart" uri="{C3380CC4-5D6E-409C-BE32-E72D297353CC}">
                  <c16:uniqueId val="{00000005-49A0-4A4E-839C-46DABDAFC519}"/>
                </c:ext>
              </c:extLst>
            </c:dLbl>
            <c:dLbl>
              <c:idx val="18"/>
              <c:delete val="1"/>
              <c:extLst>
                <c:ext xmlns:c15="http://schemas.microsoft.com/office/drawing/2012/chart" uri="{CE6537A1-D6FC-4f65-9D91-7224C49458BB}"/>
                <c:ext xmlns:c16="http://schemas.microsoft.com/office/drawing/2014/chart" uri="{C3380CC4-5D6E-409C-BE32-E72D297353CC}">
                  <c16:uniqueId val="{00000004-49A0-4A4E-839C-46DABDAFC519}"/>
                </c:ext>
              </c:extLst>
            </c:dLbl>
            <c:dLbl>
              <c:idx val="19"/>
              <c:layout>
                <c:manualLayout>
                  <c:x val="-5.2694626513868387E-2"/>
                  <c:y val="-0.13913065368331448"/>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9A0-4A4E-839C-46DABDAFC519}"/>
                </c:ext>
              </c:extLst>
            </c:dLbl>
            <c:dLbl>
              <c:idx val="20"/>
              <c:delete val="1"/>
              <c:extLst>
                <c:ext xmlns:c15="http://schemas.microsoft.com/office/drawing/2012/chart" uri="{CE6537A1-D6FC-4f65-9D91-7224C49458BB}"/>
                <c:ext xmlns:c16="http://schemas.microsoft.com/office/drawing/2014/chart" uri="{C3380CC4-5D6E-409C-BE32-E72D297353CC}">
                  <c16:uniqueId val="{00000002-49A0-4A4E-839C-46DABDAFC519}"/>
                </c:ext>
              </c:extLst>
            </c:dLbl>
            <c:dLbl>
              <c:idx val="21"/>
              <c:delete val="1"/>
              <c:extLst>
                <c:ext xmlns:c15="http://schemas.microsoft.com/office/drawing/2012/chart" uri="{CE6537A1-D6FC-4f65-9D91-7224C49458BB}"/>
                <c:ext xmlns:c16="http://schemas.microsoft.com/office/drawing/2014/chart" uri="{C3380CC4-5D6E-409C-BE32-E72D297353CC}">
                  <c16:uniqueId val="{00000001-49A0-4A4E-839C-46DABDAFC519}"/>
                </c:ext>
              </c:extLst>
            </c:dLbl>
            <c:dLbl>
              <c:idx val="22"/>
              <c:layout>
                <c:manualLayout>
                  <c:x val="-3.0738532133089892E-2"/>
                  <c:y val="-0.2101760938620282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A0-4A4E-839C-46DABDAFC519}"/>
                </c:ext>
              </c:extLst>
            </c:dLbl>
            <c:spPr>
              <a:solidFill>
                <a:srgbClr val="FFFFFF"/>
              </a:solidFill>
              <a:ln>
                <a:solidFill>
                  <a:srgbClr val="000000">
                    <a:lumMod val="65000"/>
                    <a:lumOff val="35000"/>
                  </a:srgb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numRef>
              <c:f>Dashboard!$K$8:$AG$8</c:f>
              <c:numCache>
                <c:formatCode>0</c:formatCode>
                <c:ptCount val="23"/>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numCache>
            </c:numRef>
          </c:cat>
          <c:val>
            <c:numRef>
              <c:f>Dashboard!$K$98:$AG$98</c:f>
              <c:numCache>
                <c:formatCode>#,##0;\(#,##0\);\-</c:formatCode>
                <c:ptCount val="23"/>
                <c:pt idx="0">
                  <c:v>0</c:v>
                </c:pt>
                <c:pt idx="1">
                  <c:v>-247913.32984319999</c:v>
                </c:pt>
                <c:pt idx="2">
                  <c:v>-500784.92628326395</c:v>
                </c:pt>
                <c:pt idx="3">
                  <c:v>-435274.07290603063</c:v>
                </c:pt>
                <c:pt idx="4">
                  <c:v>-367990.3993714783</c:v>
                </c:pt>
                <c:pt idx="5">
                  <c:v>-298883.96334180352</c:v>
                </c:pt>
                <c:pt idx="6">
                  <c:v>-227903.42690909177</c:v>
                </c:pt>
                <c:pt idx="7">
                  <c:v>-154996.01791112521</c:v>
                </c:pt>
                <c:pt idx="8">
                  <c:v>-80107.49018352144</c:v>
                </c:pt>
                <c:pt idx="9">
                  <c:v>-3182.0827191960416</c:v>
                </c:pt>
                <c:pt idx="10">
                  <c:v>75837.522294641545</c:v>
                </c:pt>
                <c:pt idx="11">
                  <c:v>157010.24259255518</c:v>
                </c:pt>
                <c:pt idx="12">
                  <c:v>240396.64013143495</c:v>
                </c:pt>
                <c:pt idx="13">
                  <c:v>326058.96660780808</c:v>
                </c:pt>
                <c:pt idx="14">
                  <c:v>414061.21022505098</c:v>
                </c:pt>
                <c:pt idx="15">
                  <c:v>504469.1437445411</c:v>
                </c:pt>
                <c:pt idx="16">
                  <c:v>597350.37385570572</c:v>
                </c:pt>
                <c:pt idx="17">
                  <c:v>692774.39190086932</c:v>
                </c:pt>
                <c:pt idx="18">
                  <c:v>789254.96359176806</c:v>
                </c:pt>
                <c:pt idx="19">
                  <c:v>888423.16975559609</c:v>
                </c:pt>
                <c:pt idx="20">
                  <c:v>990354.4741494694</c:v>
                </c:pt>
                <c:pt idx="21">
                  <c:v>1095126.4423832407</c:v>
                </c:pt>
                <c:pt idx="22">
                  <c:v>1202818.7999916747</c:v>
                </c:pt>
              </c:numCache>
            </c:numRef>
          </c:val>
          <c:extLst>
            <c:ext xmlns:c16="http://schemas.microsoft.com/office/drawing/2014/chart" uri="{C3380CC4-5D6E-409C-BE32-E72D297353CC}">
              <c16:uniqueId val="{00000001-49B5-4F90-A5B3-BC86C84F7C1E}"/>
            </c:ext>
          </c:extLst>
        </c:ser>
        <c:dLbls>
          <c:showLegendKey val="0"/>
          <c:showVal val="0"/>
          <c:showCatName val="0"/>
          <c:showSerName val="0"/>
          <c:showPercent val="0"/>
          <c:showBubbleSize val="0"/>
        </c:dLbls>
        <c:axId val="10"/>
        <c:axId val="100"/>
      </c:areaChart>
      <c:catAx>
        <c:axId val="10"/>
        <c:scaling>
          <c:orientation val="minMax"/>
        </c:scaling>
        <c:delete val="0"/>
        <c:axPos val="b"/>
        <c:numFmt formatCode="0" sourceLinked="0"/>
        <c:majorTickMark val="out"/>
        <c:minorTickMark val="none"/>
        <c:tickLblPos val="nextTo"/>
        <c:txPr>
          <a:bodyPr rot="5400000" vert="horz"/>
          <a:lstStyle/>
          <a:p>
            <a:pPr>
              <a:defRPr sz="600"/>
            </a:pPr>
            <a:endParaRPr lang="en-KE"/>
          </a:p>
        </c:txPr>
        <c:crossAx val="100"/>
        <c:crosses val="autoZero"/>
        <c:auto val="1"/>
        <c:lblAlgn val="ctr"/>
        <c:lblOffset val="100"/>
        <c:noMultiLvlLbl val="1"/>
      </c:catAx>
      <c:valAx>
        <c:axId val="100"/>
        <c:scaling>
          <c:orientation val="minMax"/>
        </c:scaling>
        <c:delete val="0"/>
        <c:axPos val="l"/>
        <c:majorGridlines/>
        <c:numFmt formatCode="#,##0;\(#,##0\);\-" sourceLinked="1"/>
        <c:majorTickMark val="out"/>
        <c:minorTickMark val="none"/>
        <c:tickLblPos val="nextTo"/>
        <c:txPr>
          <a:bodyPr/>
          <a:lstStyle/>
          <a:p>
            <a:pPr>
              <a:defRPr sz="700"/>
            </a:pPr>
            <a:endParaRPr lang="en-KE"/>
          </a:p>
        </c:txPr>
        <c:crossAx val="10"/>
        <c:crosses val="autoZero"/>
        <c:crossBetween val="midCat"/>
      </c:valAx>
    </c:plotArea>
    <c:legend>
      <c:legendPos val="b"/>
      <c:overlay val="0"/>
      <c:spPr>
        <a:noFill/>
        <a:ln w="0">
          <a:noFill/>
          <a:prstDash val="solid"/>
        </a:ln>
      </c:spPr>
      <c:txPr>
        <a:bodyPr/>
        <a:lstStyle/>
        <a:p>
          <a:pPr>
            <a:defRPr sz="1000" b="0" strike="noStrike" spc="-1">
              <a:solidFill>
                <a:srgbClr val="000000"/>
              </a:solidFill>
              <a:latin typeface="Calibri"/>
            </a:defRPr>
          </a:pPr>
          <a:endParaRPr lang="en-KE"/>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de-DE">
                <a:solidFill>
                  <a:sysClr val="windowText" lastClr="000000"/>
                </a:solidFill>
              </a:rPr>
              <a:t>DSCR Profile</a:t>
            </a:r>
          </a:p>
        </c:rich>
      </c:tx>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KE"/>
        </a:p>
      </c:txPr>
    </c:title>
    <c:autoTitleDeleted val="0"/>
    <c:plotArea>
      <c:layout/>
      <c:lineChart>
        <c:grouping val="standard"/>
        <c:varyColors val="0"/>
        <c:ser>
          <c:idx val="0"/>
          <c:order val="0"/>
          <c:tx>
            <c:strRef>
              <c:f>Dashboard!$E$101</c:f>
              <c:strCache>
                <c:ptCount val="1"/>
                <c:pt idx="0">
                  <c:v>DSCR</c:v>
                </c:pt>
              </c:strCache>
            </c:strRef>
          </c:tx>
          <c:spPr>
            <a:ln w="31750" cap="rnd">
              <a:solidFill>
                <a:srgbClr val="A7E997"/>
              </a:solidFill>
              <a:round/>
            </a:ln>
            <a:effectLst/>
          </c:spPr>
          <c:marker>
            <c:symbol val="none"/>
          </c:marker>
          <c:dLbls>
            <c:dLbl>
              <c:idx val="0"/>
              <c:layout>
                <c:manualLayout>
                  <c:x val="-4.0740743711048688E-2"/>
                  <c:y val="5.932425469817728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DE7-44DE-BE10-1B232A5A99A4}"/>
                </c:ext>
              </c:extLst>
            </c:dLbl>
            <c:dLbl>
              <c:idx val="1"/>
              <c:layout>
                <c:manualLayout>
                  <c:x val="4.0740743711048678E-3"/>
                  <c:y val="5.635804196326847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DE7-44DE-BE10-1B232A5A99A4}"/>
                </c:ext>
              </c:extLst>
            </c:dLbl>
            <c:dLbl>
              <c:idx val="2"/>
              <c:layout>
                <c:manualLayout>
                  <c:x val="5.7037041195468118E-2"/>
                  <c:y val="3.55945528189064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DE7-44DE-BE10-1B232A5A99A4}"/>
                </c:ext>
              </c:extLst>
            </c:dLbl>
            <c:dLbl>
              <c:idx val="3"/>
              <c:delete val="1"/>
              <c:extLst>
                <c:ext xmlns:c15="http://schemas.microsoft.com/office/drawing/2012/chart" uri="{CE6537A1-D6FC-4f65-9D91-7224C49458BB}"/>
                <c:ext xmlns:c16="http://schemas.microsoft.com/office/drawing/2014/chart" uri="{C3380CC4-5D6E-409C-BE32-E72D297353CC}">
                  <c16:uniqueId val="{0000000A-8DE7-44DE-BE10-1B232A5A99A4}"/>
                </c:ext>
              </c:extLst>
            </c:dLbl>
            <c:dLbl>
              <c:idx val="4"/>
              <c:delete val="1"/>
              <c:extLst>
                <c:ext xmlns:c15="http://schemas.microsoft.com/office/drawing/2012/chart" uri="{CE6537A1-D6FC-4f65-9D91-7224C49458BB}"/>
                <c:ext xmlns:c16="http://schemas.microsoft.com/office/drawing/2014/chart" uri="{C3380CC4-5D6E-409C-BE32-E72D297353CC}">
                  <c16:uniqueId val="{00000009-8DE7-44DE-BE10-1B232A5A99A4}"/>
                </c:ext>
              </c:extLst>
            </c:dLbl>
            <c:dLbl>
              <c:idx val="5"/>
              <c:layout>
                <c:manualLayout>
                  <c:x val="-5.0925929638810853E-2"/>
                  <c:y val="-5.042561649345077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DE7-44DE-BE10-1B232A5A99A4}"/>
                </c:ext>
              </c:extLst>
            </c:dLbl>
            <c:dLbl>
              <c:idx val="6"/>
              <c:delete val="1"/>
              <c:extLst>
                <c:ext xmlns:c15="http://schemas.microsoft.com/office/drawing/2012/chart" uri="{CE6537A1-D6FC-4f65-9D91-7224C49458BB}"/>
                <c:ext xmlns:c16="http://schemas.microsoft.com/office/drawing/2014/chart" uri="{C3380CC4-5D6E-409C-BE32-E72D297353CC}">
                  <c16:uniqueId val="{00000007-8DE7-44DE-BE10-1B232A5A99A4}"/>
                </c:ext>
              </c:extLst>
            </c:dLbl>
            <c:dLbl>
              <c:idx val="7"/>
              <c:delete val="1"/>
              <c:extLst>
                <c:ext xmlns:c15="http://schemas.microsoft.com/office/drawing/2012/chart" uri="{CE6537A1-D6FC-4f65-9D91-7224C49458BB}"/>
                <c:ext xmlns:c16="http://schemas.microsoft.com/office/drawing/2014/chart" uri="{C3380CC4-5D6E-409C-BE32-E72D297353CC}">
                  <c16:uniqueId val="{00000006-8DE7-44DE-BE10-1B232A5A99A4}"/>
                </c:ext>
              </c:extLst>
            </c:dLbl>
            <c:dLbl>
              <c:idx val="8"/>
              <c:layout>
                <c:manualLayout>
                  <c:x val="-2.4444446226629283E-2"/>
                  <c:y val="-3.26283400839975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DE7-44DE-BE10-1B232A5A99A4}"/>
                </c:ext>
              </c:extLst>
            </c:dLbl>
            <c:dLbl>
              <c:idx val="9"/>
              <c:delete val="1"/>
              <c:extLst>
                <c:ext xmlns:c15="http://schemas.microsoft.com/office/drawing/2012/chart" uri="{CE6537A1-D6FC-4f65-9D91-7224C49458BB}"/>
                <c:ext xmlns:c16="http://schemas.microsoft.com/office/drawing/2014/chart" uri="{C3380CC4-5D6E-409C-BE32-E72D297353CC}">
                  <c16:uniqueId val="{00000004-8DE7-44DE-BE10-1B232A5A99A4}"/>
                </c:ext>
              </c:extLst>
            </c:dLbl>
            <c:dLbl>
              <c:idx val="10"/>
              <c:delete val="1"/>
              <c:extLst>
                <c:ext xmlns:c15="http://schemas.microsoft.com/office/drawing/2012/chart" uri="{CE6537A1-D6FC-4f65-9D91-7224C49458BB}"/>
                <c:ext xmlns:c16="http://schemas.microsoft.com/office/drawing/2014/chart" uri="{C3380CC4-5D6E-409C-BE32-E72D297353CC}">
                  <c16:uniqueId val="{00000003-8DE7-44DE-BE10-1B232A5A99A4}"/>
                </c:ext>
              </c:extLst>
            </c:dLbl>
            <c:dLbl>
              <c:idx val="11"/>
              <c:layout>
                <c:manualLayout>
                  <c:x val="8.1481487422096609E-3"/>
                  <c:y val="-6.82228929029039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DE7-44DE-BE10-1B232A5A99A4}"/>
                </c:ext>
              </c:extLst>
            </c:dLbl>
            <c:spPr>
              <a:solidFill>
                <a:srgbClr val="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2">
                        <a:lumMod val="75000"/>
                      </a:schemeClr>
                    </a:solidFill>
                    <a:latin typeface="+mn-lt"/>
                    <a:ea typeface="+mn-ea"/>
                    <a:cs typeface="+mn-cs"/>
                  </a:defRPr>
                </a:pPr>
                <a:endParaRPr lang="en-KE"/>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extLst>
                <c:ext xmlns:c15="http://schemas.microsoft.com/office/drawing/2012/chart" uri="{02D57815-91ED-43cb-92C2-25804820EDAC}">
                  <c15:fullRef>
                    <c15:sqref>Dashboard!$K$8:$AG$8</c15:sqref>
                  </c15:fullRef>
                </c:ext>
              </c:extLst>
              <c:f>Dashboard!$N$8:$AG$8</c:f>
              <c:numCache>
                <c:formatCode>0</c:formatCode>
                <c:ptCount val="20"/>
                <c:pt idx="0">
                  <c:v>2030</c:v>
                </c:pt>
                <c:pt idx="1">
                  <c:v>2031</c:v>
                </c:pt>
                <c:pt idx="2">
                  <c:v>2032</c:v>
                </c:pt>
                <c:pt idx="3">
                  <c:v>2033</c:v>
                </c:pt>
                <c:pt idx="4">
                  <c:v>2034</c:v>
                </c:pt>
                <c:pt idx="5">
                  <c:v>2035</c:v>
                </c:pt>
                <c:pt idx="6">
                  <c:v>2036</c:v>
                </c:pt>
                <c:pt idx="7">
                  <c:v>2037</c:v>
                </c:pt>
                <c:pt idx="8">
                  <c:v>2038</c:v>
                </c:pt>
                <c:pt idx="9">
                  <c:v>2039</c:v>
                </c:pt>
                <c:pt idx="10">
                  <c:v>2040</c:v>
                </c:pt>
                <c:pt idx="11">
                  <c:v>2041</c:v>
                </c:pt>
                <c:pt idx="12">
                  <c:v>2042</c:v>
                </c:pt>
                <c:pt idx="13">
                  <c:v>2043</c:v>
                </c:pt>
                <c:pt idx="14">
                  <c:v>2044</c:v>
                </c:pt>
                <c:pt idx="15">
                  <c:v>2045</c:v>
                </c:pt>
                <c:pt idx="16">
                  <c:v>2046</c:v>
                </c:pt>
                <c:pt idx="17">
                  <c:v>2047</c:v>
                </c:pt>
                <c:pt idx="18">
                  <c:v>2048</c:v>
                </c:pt>
                <c:pt idx="19">
                  <c:v>2049</c:v>
                </c:pt>
              </c:numCache>
            </c:numRef>
          </c:cat>
          <c:val>
            <c:numRef>
              <c:extLst>
                <c:ext xmlns:c15="http://schemas.microsoft.com/office/drawing/2012/chart" uri="{02D57815-91ED-43cb-92C2-25804820EDAC}">
                  <c15:fullRef>
                    <c15:sqref>Dashboard!$N$101:$AB$101</c15:sqref>
                  </c15:fullRef>
                </c:ext>
              </c:extLst>
              <c:f>Dashboard!$Q$101:$AB$101</c:f>
              <c:numCache>
                <c:formatCode>0.00</c:formatCode>
                <c:ptCount val="12"/>
                <c:pt idx="0">
                  <c:v>2.025720685015076</c:v>
                </c:pt>
                <c:pt idx="1">
                  <c:v>2.0832127881859792</c:v>
                </c:pt>
                <c:pt idx="2">
                  <c:v>2.1423234343449007</c:v>
                </c:pt>
                <c:pt idx="3">
                  <c:v>2.2030978218586057</c:v>
                </c:pt>
                <c:pt idx="4">
                  <c:v>2.2655824011441519</c:v>
                </c:pt>
                <c:pt idx="5">
                  <c:v>2.3298249090728373</c:v>
                </c:pt>
                <c:pt idx="6">
                  <c:v>2.3958744043117068</c:v>
                </c:pt>
                <c:pt idx="7">
                  <c:v>2.3921525386457514</c:v>
                </c:pt>
                <c:pt idx="8">
                  <c:v>2.354915369957836</c:v>
                </c:pt>
                <c:pt idx="9">
                  <c:v>2.4098305402040836</c:v>
                </c:pt>
                <c:pt idx="10">
                  <c:v>2.4675499127579648</c:v>
                </c:pt>
                <c:pt idx="11">
                  <c:v>2.5278642196123786</c:v>
                </c:pt>
              </c:numCache>
            </c:numRef>
          </c:val>
          <c:smooth val="0"/>
          <c:extLst>
            <c:ext xmlns:c16="http://schemas.microsoft.com/office/drawing/2014/chart" uri="{C3380CC4-5D6E-409C-BE32-E72D297353CC}">
              <c16:uniqueId val="{00000000-8DE7-44DE-BE10-1B232A5A99A4}"/>
            </c:ext>
          </c:extLst>
        </c:ser>
        <c:ser>
          <c:idx val="1"/>
          <c:order val="1"/>
          <c:tx>
            <c:strRef>
              <c:f>Dashboard!$E$102</c:f>
              <c:strCache>
                <c:ptCount val="1"/>
                <c:pt idx="0">
                  <c:v>Covenant (min)</c:v>
                </c:pt>
              </c:strCache>
            </c:strRef>
          </c:tx>
          <c:spPr>
            <a:ln w="31750" cap="rnd">
              <a:solidFill>
                <a:srgbClr val="007E00"/>
              </a:solidFill>
              <a:round/>
            </a:ln>
            <a:effectLst/>
          </c:spPr>
          <c:marker>
            <c:symbol val="none"/>
          </c:marker>
          <c:dLbls>
            <c:dLbl>
              <c:idx val="18"/>
              <c:layout>
                <c:manualLayout>
                  <c:x val="-4.0740743711048834E-2"/>
                  <c:y val="-4.152697828872419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DE7-44DE-BE10-1B232A5A99A4}"/>
                </c:ext>
              </c:extLst>
            </c:dLbl>
            <c:spPr>
              <a:solidFill>
                <a:srgbClr val="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2">
                        <a:lumMod val="75000"/>
                      </a:schemeClr>
                    </a:solidFill>
                    <a:latin typeface="+mn-lt"/>
                    <a:ea typeface="+mn-ea"/>
                    <a:cs typeface="+mn-cs"/>
                  </a:defRPr>
                </a:pPr>
                <a:endParaRPr lang="en-KE"/>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extLst>
                <c:ext xmlns:c15="http://schemas.microsoft.com/office/drawing/2012/chart" uri="{02D57815-91ED-43cb-92C2-25804820EDAC}">
                  <c15:fullRef>
                    <c15:sqref>Dashboard!$K$8:$AG$8</c15:sqref>
                  </c15:fullRef>
                </c:ext>
              </c:extLst>
              <c:f>Dashboard!$N$8:$AG$8</c:f>
              <c:numCache>
                <c:formatCode>0</c:formatCode>
                <c:ptCount val="20"/>
                <c:pt idx="0">
                  <c:v>2030</c:v>
                </c:pt>
                <c:pt idx="1">
                  <c:v>2031</c:v>
                </c:pt>
                <c:pt idx="2">
                  <c:v>2032</c:v>
                </c:pt>
                <c:pt idx="3">
                  <c:v>2033</c:v>
                </c:pt>
                <c:pt idx="4">
                  <c:v>2034</c:v>
                </c:pt>
                <c:pt idx="5">
                  <c:v>2035</c:v>
                </c:pt>
                <c:pt idx="6">
                  <c:v>2036</c:v>
                </c:pt>
                <c:pt idx="7">
                  <c:v>2037</c:v>
                </c:pt>
                <c:pt idx="8">
                  <c:v>2038</c:v>
                </c:pt>
                <c:pt idx="9">
                  <c:v>2039</c:v>
                </c:pt>
                <c:pt idx="10">
                  <c:v>2040</c:v>
                </c:pt>
                <c:pt idx="11">
                  <c:v>2041</c:v>
                </c:pt>
                <c:pt idx="12">
                  <c:v>2042</c:v>
                </c:pt>
                <c:pt idx="13">
                  <c:v>2043</c:v>
                </c:pt>
                <c:pt idx="14">
                  <c:v>2044</c:v>
                </c:pt>
                <c:pt idx="15">
                  <c:v>2045</c:v>
                </c:pt>
                <c:pt idx="16">
                  <c:v>2046</c:v>
                </c:pt>
                <c:pt idx="17">
                  <c:v>2047</c:v>
                </c:pt>
                <c:pt idx="18">
                  <c:v>2048</c:v>
                </c:pt>
                <c:pt idx="19">
                  <c:v>2049</c:v>
                </c:pt>
              </c:numCache>
            </c:numRef>
          </c:cat>
          <c:val>
            <c:numRef>
              <c:extLst>
                <c:ext xmlns:c15="http://schemas.microsoft.com/office/drawing/2012/chart" uri="{02D57815-91ED-43cb-92C2-25804820EDAC}">
                  <c15:fullRef>
                    <c15:sqref>Dashboard!$K$102:$AG$102</c15:sqref>
                  </c15:fullRef>
                </c:ext>
              </c:extLst>
              <c:f>Dashboard!$N$102:$AG$102</c:f>
              <c:numCache>
                <c:formatCode>0.00</c:formatCode>
                <c:ptCount val="20"/>
                <c:pt idx="0">
                  <c:v>1.3</c:v>
                </c:pt>
                <c:pt idx="1">
                  <c:v>1.3</c:v>
                </c:pt>
                <c:pt idx="2">
                  <c:v>1.3</c:v>
                </c:pt>
                <c:pt idx="3">
                  <c:v>1.3</c:v>
                </c:pt>
                <c:pt idx="4">
                  <c:v>1.3</c:v>
                </c:pt>
                <c:pt idx="5">
                  <c:v>1.3</c:v>
                </c:pt>
                <c:pt idx="6">
                  <c:v>1.3</c:v>
                </c:pt>
                <c:pt idx="7">
                  <c:v>1.3</c:v>
                </c:pt>
                <c:pt idx="8">
                  <c:v>1.3</c:v>
                </c:pt>
                <c:pt idx="9">
                  <c:v>1.3</c:v>
                </c:pt>
                <c:pt idx="10">
                  <c:v>1.3</c:v>
                </c:pt>
                <c:pt idx="11">
                  <c:v>1.3</c:v>
                </c:pt>
                <c:pt idx="12">
                  <c:v>1.3</c:v>
                </c:pt>
                <c:pt idx="13">
                  <c:v>1.3</c:v>
                </c:pt>
                <c:pt idx="14">
                  <c:v>1.3</c:v>
                </c:pt>
                <c:pt idx="15">
                  <c:v>1.3</c:v>
                </c:pt>
                <c:pt idx="16">
                  <c:v>1.3</c:v>
                </c:pt>
                <c:pt idx="17">
                  <c:v>1.3</c:v>
                </c:pt>
                <c:pt idx="18">
                  <c:v>1.3</c:v>
                </c:pt>
                <c:pt idx="19">
                  <c:v>1.3</c:v>
                </c:pt>
              </c:numCache>
            </c:numRef>
          </c:val>
          <c:smooth val="0"/>
          <c:extLst>
            <c:ext xmlns:c16="http://schemas.microsoft.com/office/drawing/2014/chart" uri="{C3380CC4-5D6E-409C-BE32-E72D297353CC}">
              <c16:uniqueId val="{00000001-8DE7-44DE-BE10-1B232A5A99A4}"/>
            </c:ext>
          </c:extLst>
        </c:ser>
        <c:dLbls>
          <c:showLegendKey val="0"/>
          <c:showVal val="0"/>
          <c:showCatName val="0"/>
          <c:showSerName val="0"/>
          <c:showPercent val="0"/>
          <c:showBubbleSize val="0"/>
        </c:dLbls>
        <c:hiLowLines>
          <c:spPr>
            <a:ln w="9525">
              <a:solidFill>
                <a:schemeClr val="tx2">
                  <a:lumMod val="60000"/>
                  <a:lumOff val="40000"/>
                </a:schemeClr>
              </a:solidFill>
              <a:prstDash val="dash"/>
            </a:ln>
            <a:effectLst/>
          </c:spPr>
        </c:hiLowLines>
        <c:smooth val="0"/>
        <c:axId val="28430079"/>
        <c:axId val="26772398"/>
      </c:lineChart>
      <c:catAx>
        <c:axId val="28430079"/>
        <c:scaling>
          <c:orientation val="minMax"/>
        </c:scaling>
        <c:delete val="0"/>
        <c:axPos val="b"/>
        <c:numFmt formatCode="0" sourceLinked="1"/>
        <c:majorTickMark val="out"/>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2"/>
                </a:solidFill>
                <a:latin typeface="+mn-lt"/>
                <a:ea typeface="+mn-ea"/>
                <a:cs typeface="+mn-cs"/>
              </a:defRPr>
            </a:pPr>
            <a:endParaRPr lang="en-KE"/>
          </a:p>
        </c:txPr>
        <c:crossAx val="26772398"/>
        <c:crosses val="autoZero"/>
        <c:auto val="1"/>
        <c:lblAlgn val="ctr"/>
        <c:lblOffset val="100"/>
        <c:noMultiLvlLbl val="0"/>
      </c:catAx>
      <c:valAx>
        <c:axId val="26772398"/>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KE"/>
          </a:p>
        </c:txPr>
        <c:crossAx val="284300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KE"/>
        </a:p>
      </c:txPr>
    </c:legend>
    <c:plotVisOnly val="1"/>
    <c:dispBlanksAs val="gap"/>
    <c:showDLblsOverMax val="1"/>
  </c:chart>
  <c:spPr>
    <a:solidFill>
      <a:schemeClr val="bg1"/>
    </a:solidFill>
    <a:ln w="9525" cap="flat" cmpd="sng" algn="ctr">
      <a:solidFill>
        <a:schemeClr val="tx2">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119063</xdr:rowOff>
    </xdr:from>
    <xdr:to>
      <xdr:col>2</xdr:col>
      <xdr:colOff>538163</xdr:colOff>
      <xdr:row>0</xdr:row>
      <xdr:rowOff>647700</xdr:rowOff>
    </xdr:to>
    <xdr:pic>
      <xdr:nvPicPr>
        <xdr:cNvPr id="3" name="Picture 2" descr="A logo on a black background&#10;&#10;Description automatically generated">
          <a:extLst>
            <a:ext uri="{FF2B5EF4-FFF2-40B4-BE49-F238E27FC236}">
              <a16:creationId xmlns:a16="http://schemas.microsoft.com/office/drawing/2014/main" id="{476F9A8A-6D69-46CA-85B8-09F2DD0C4184}"/>
            </a:ext>
          </a:extLst>
        </xdr:cNvPr>
        <xdr:cNvPicPr/>
      </xdr:nvPicPr>
      <xdr:blipFill>
        <a:blip xmlns:r="http://schemas.openxmlformats.org/officeDocument/2006/relationships" r:embed="rId1"/>
        <a:srcRect t="24071" b="22265"/>
        <a:stretch>
          <a:fillRect/>
        </a:stretch>
      </xdr:blipFill>
      <xdr:spPr>
        <a:xfrm>
          <a:off x="119063" y="119063"/>
          <a:ext cx="1257300" cy="528637"/>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115661</xdr:colOff>
      <xdr:row>0</xdr:row>
      <xdr:rowOff>142875</xdr:rowOff>
    </xdr:from>
    <xdr:to>
      <xdr:col>1</xdr:col>
      <xdr:colOff>1308637</xdr:colOff>
      <xdr:row>0</xdr:row>
      <xdr:rowOff>672075</xdr:rowOff>
    </xdr:to>
    <xdr:pic>
      <xdr:nvPicPr>
        <xdr:cNvPr id="4" name="Picture 3" descr="A logo on a black background&#10;&#10;Description automatically generated">
          <a:extLst>
            <a:ext uri="{FF2B5EF4-FFF2-40B4-BE49-F238E27FC236}">
              <a16:creationId xmlns:a16="http://schemas.microsoft.com/office/drawing/2014/main" id="{0CAEC231-AB7B-4F2D-BE2C-BD85DBF4C5B0}"/>
            </a:ext>
          </a:extLst>
        </xdr:cNvPr>
        <xdr:cNvPicPr/>
      </xdr:nvPicPr>
      <xdr:blipFill>
        <a:blip xmlns:r="http://schemas.openxmlformats.org/officeDocument/2006/relationships" r:embed="rId1"/>
        <a:srcRect t="24071" b="22265"/>
        <a:stretch>
          <a:fillRect/>
        </a:stretch>
      </xdr:blipFill>
      <xdr:spPr>
        <a:xfrm>
          <a:off x="115661" y="142875"/>
          <a:ext cx="1315440" cy="52920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123825</xdr:colOff>
      <xdr:row>0</xdr:row>
      <xdr:rowOff>114300</xdr:rowOff>
    </xdr:from>
    <xdr:to>
      <xdr:col>4</xdr:col>
      <xdr:colOff>79375</xdr:colOff>
      <xdr:row>0</xdr:row>
      <xdr:rowOff>2524125</xdr:rowOff>
    </xdr:to>
    <xdr:graphicFrame macro="">
      <xdr:nvGraphicFramePr>
        <xdr:cNvPr id="11"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4</xdr:col>
      <xdr:colOff>238124</xdr:colOff>
      <xdr:row>0</xdr:row>
      <xdr:rowOff>133350</xdr:rowOff>
    </xdr:from>
    <xdr:to>
      <xdr:col>8</xdr:col>
      <xdr:colOff>1609724</xdr:colOff>
      <xdr:row>0</xdr:row>
      <xdr:rowOff>2543175</xdr:rowOff>
    </xdr:to>
    <xdr:graphicFrame macro="">
      <xdr:nvGraphicFramePr>
        <xdr:cNvPr id="10" name="Chart 2">
          <a:extLst>
            <a:ext uri="{FF2B5EF4-FFF2-40B4-BE49-F238E27FC236}">
              <a16:creationId xmlns:a16="http://schemas.microsoft.com/office/drawing/2014/main" id="{51C66081-F527-4B43-AB46-8571637ACEAA}"/>
            </a:ext>
            <a:ext uri="{147F2762-F138-4A5C-976F-8EAC2B608ADB}">
              <a16:predDERef xmlns:a16="http://schemas.microsoft.com/office/drawing/2014/main" pre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9</xdr:col>
      <xdr:colOff>85725</xdr:colOff>
      <xdr:row>0</xdr:row>
      <xdr:rowOff>142875</xdr:rowOff>
    </xdr:from>
    <xdr:to>
      <xdr:col>10</xdr:col>
      <xdr:colOff>3119437</xdr:colOff>
      <xdr:row>0</xdr:row>
      <xdr:rowOff>2590800</xdr:rowOff>
    </xdr:to>
    <xdr:graphicFrame macro="">
      <xdr:nvGraphicFramePr>
        <xdr:cNvPr id="18" name="Chart 3">
          <a:extLst>
            <a:ext uri="{FF2B5EF4-FFF2-40B4-BE49-F238E27FC236}">
              <a16:creationId xmlns:a16="http://schemas.microsoft.com/office/drawing/2014/main" id="{DFEB29BF-BDA5-4D5C-8E4F-966E8B264713}"/>
            </a:ext>
            <a:ext uri="{147F2762-F138-4A5C-976F-8EAC2B608ADB}">
              <a16:predDERef xmlns:a16="http://schemas.microsoft.com/office/drawing/2014/main" pred="{51C66081-F527-4B43-AB46-8571637AC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xdr:col>
      <xdr:colOff>114300</xdr:colOff>
      <xdr:row>0</xdr:row>
      <xdr:rowOff>2638425</xdr:rowOff>
    </xdr:from>
    <xdr:to>
      <xdr:col>4</xdr:col>
      <xdr:colOff>87313</xdr:colOff>
      <xdr:row>0</xdr:row>
      <xdr:rowOff>4953000</xdr:rowOff>
    </xdr:to>
    <xdr:graphicFrame macro="">
      <xdr:nvGraphicFramePr>
        <xdr:cNvPr id="14" name="Chart 4">
          <a:extLst>
            <a:ext uri="{FF2B5EF4-FFF2-40B4-BE49-F238E27FC236}">
              <a16:creationId xmlns:a16="http://schemas.microsoft.com/office/drawing/2014/main" id="{76E05C50-B797-49AD-A563-D9C0AB5236CD}"/>
            </a:ext>
            <a:ext uri="{147F2762-F138-4A5C-976F-8EAC2B608ADB}">
              <a16:predDERef xmlns:a16="http://schemas.microsoft.com/office/drawing/2014/main" pred="{DFEB29BF-BDA5-4D5C-8E4F-966E8B2647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4</xdr:col>
      <xdr:colOff>219074</xdr:colOff>
      <xdr:row>0</xdr:row>
      <xdr:rowOff>2638425</xdr:rowOff>
    </xdr:from>
    <xdr:to>
      <xdr:col>9</xdr:col>
      <xdr:colOff>4761</xdr:colOff>
      <xdr:row>0</xdr:row>
      <xdr:rowOff>4914900</xdr:rowOff>
    </xdr:to>
    <xdr:graphicFrame macro="">
      <xdr:nvGraphicFramePr>
        <xdr:cNvPr id="13" name="Chart 5">
          <a:extLst>
            <a:ext uri="{FF2B5EF4-FFF2-40B4-BE49-F238E27FC236}">
              <a16:creationId xmlns:a16="http://schemas.microsoft.com/office/drawing/2014/main" id="{FB0A3A11-AFA1-4B16-8AD5-932575FF2824}"/>
            </a:ext>
            <a:ext uri="{147F2762-F138-4A5C-976F-8EAC2B608ADB}">
              <a16:predDERef xmlns:a16="http://schemas.microsoft.com/office/drawing/2014/main" pred="{76E05C50-B797-49AD-A563-D9C0AB5236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76200</xdr:colOff>
      <xdr:row>0</xdr:row>
      <xdr:rowOff>2667000</xdr:rowOff>
    </xdr:from>
    <xdr:to>
      <xdr:col>10</xdr:col>
      <xdr:colOff>3128962</xdr:colOff>
      <xdr:row>0</xdr:row>
      <xdr:rowOff>4867275</xdr:rowOff>
    </xdr:to>
    <xdr:graphicFrame macro="">
      <xdr:nvGraphicFramePr>
        <xdr:cNvPr id="17" name="Chart 6">
          <a:extLst>
            <a:ext uri="{FF2B5EF4-FFF2-40B4-BE49-F238E27FC236}">
              <a16:creationId xmlns:a16="http://schemas.microsoft.com/office/drawing/2014/main" id="{C00753E0-C773-41DF-A103-A247664E1291}"/>
            </a:ext>
            <a:ext uri="{147F2762-F138-4A5C-976F-8EAC2B608ADB}">
              <a16:predDERef xmlns:a16="http://schemas.microsoft.com/office/drawing/2014/main" pred="{FB0A3A11-AFA1-4B16-8AD5-932575FF28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89640</xdr:rowOff>
    </xdr:from>
    <xdr:to>
      <xdr:col>1</xdr:col>
      <xdr:colOff>1315440</xdr:colOff>
      <xdr:row>0</xdr:row>
      <xdr:rowOff>618840</xdr:rowOff>
    </xdr:to>
    <xdr:pic>
      <xdr:nvPicPr>
        <xdr:cNvPr id="2" name="Picture 1" descr="A logo on a black background&#10;&#10;Description automatically generated">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t="24071" b="22265"/>
        <a:stretch>
          <a:fillRect/>
        </a:stretch>
      </xdr:blipFill>
      <xdr:spPr>
        <a:xfrm>
          <a:off x="202680" y="89640"/>
          <a:ext cx="1315440" cy="52920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173182</xdr:colOff>
      <xdr:row>35</xdr:row>
      <xdr:rowOff>69272</xdr:rowOff>
    </xdr:from>
    <xdr:to>
      <xdr:col>2</xdr:col>
      <xdr:colOff>1772021</xdr:colOff>
      <xdr:row>53</xdr:row>
      <xdr:rowOff>108857</xdr:rowOff>
    </xdr:to>
    <xdr:sp macro="" textlink="">
      <xdr:nvSpPr>
        <xdr:cNvPr id="2" name="TextBox 1">
          <a:extLst>
            <a:ext uri="{FF2B5EF4-FFF2-40B4-BE49-F238E27FC236}">
              <a16:creationId xmlns:a16="http://schemas.microsoft.com/office/drawing/2014/main" id="{DFCD26F8-9A87-4CA5-829C-FC8F8678C51E}"/>
            </a:ext>
          </a:extLst>
        </xdr:cNvPr>
        <xdr:cNvSpPr txBox="1"/>
      </xdr:nvSpPr>
      <xdr:spPr>
        <a:xfrm>
          <a:off x="623455" y="6130636"/>
          <a:ext cx="1598839" cy="3156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t>Wastewater</a:t>
          </a:r>
        </a:p>
        <a:p>
          <a:r>
            <a:rPr lang="de-DE" sz="1000"/>
            <a:t>     │</a:t>
          </a:r>
        </a:p>
        <a:p>
          <a:r>
            <a:rPr lang="de-DE" sz="1000"/>
            <a:t>    ▼</a:t>
          </a:r>
        </a:p>
        <a:p>
          <a:r>
            <a:rPr lang="de-DE" sz="1000"/>
            <a:t>+----------------------+</a:t>
          </a:r>
        </a:p>
        <a:p>
          <a:r>
            <a:rPr lang="de-DE" sz="1000"/>
            <a:t>| Wastewater Heat|</a:t>
          </a:r>
        </a:p>
        <a:p>
          <a:r>
            <a:rPr lang="de-DE" sz="1000"/>
            <a:t>| Exchanger             |</a:t>
          </a:r>
        </a:p>
        <a:p>
          <a:r>
            <a:rPr lang="de-DE" sz="1000"/>
            <a:t>+----------------------+</a:t>
          </a:r>
        </a:p>
        <a:p>
          <a:r>
            <a:rPr lang="de-DE" sz="1000"/>
            <a:t>    ▲</a:t>
          </a:r>
        </a:p>
        <a:p>
          <a:r>
            <a:rPr lang="de-DE" sz="1000"/>
            <a:t>     │</a:t>
          </a:r>
        </a:p>
        <a:p>
          <a:r>
            <a:rPr lang="de-DE" sz="1000"/>
            <a:t>Intermediate (clean) loop</a:t>
          </a:r>
        </a:p>
        <a:p>
          <a:r>
            <a:rPr lang="de-DE" sz="1000"/>
            <a:t>     │</a:t>
          </a:r>
        </a:p>
        <a:p>
          <a:r>
            <a:rPr lang="de-DE" sz="1000"/>
            <a:t>    ▼</a:t>
          </a:r>
        </a:p>
        <a:p>
          <a:r>
            <a:rPr lang="de-DE" sz="1000"/>
            <a:t>+----------------------+</a:t>
          </a:r>
        </a:p>
        <a:p>
          <a:r>
            <a:rPr lang="de-DE" sz="1000"/>
            <a:t>| Heat Pump Evaporator |</a:t>
          </a:r>
        </a:p>
        <a:p>
          <a:r>
            <a:rPr lang="de-DE" sz="1000"/>
            <a:t>+----------------------+</a:t>
          </a:r>
        </a:p>
        <a:p>
          <a:r>
            <a:rPr lang="de-DE" sz="1000"/>
            <a:t>     │</a:t>
          </a:r>
        </a:p>
        <a:p>
          <a:r>
            <a:rPr lang="de-DE" sz="1000"/>
            <a:t>    ▼</a:t>
          </a:r>
        </a:p>
        <a:p>
          <a:r>
            <a:rPr lang="de-DE" sz="1000"/>
            <a:t>Heating system</a:t>
          </a:r>
          <a:endParaRPr lang="en-KE" sz="1000"/>
        </a:p>
      </xdr:txBody>
    </xdr:sp>
    <xdr:clientData/>
  </xdr:twoCellAnchor>
  <xdr:twoCellAnchor>
    <xdr:from>
      <xdr:col>0</xdr:col>
      <xdr:colOff>140771</xdr:colOff>
      <xdr:row>25</xdr:row>
      <xdr:rowOff>86592</xdr:rowOff>
    </xdr:from>
    <xdr:to>
      <xdr:col>0</xdr:col>
      <xdr:colOff>154378</xdr:colOff>
      <xdr:row>40</xdr:row>
      <xdr:rowOff>19793</xdr:rowOff>
    </xdr:to>
    <xdr:cxnSp macro="">
      <xdr:nvCxnSpPr>
        <xdr:cNvPr id="3" name="Straight Connector 2">
          <a:extLst>
            <a:ext uri="{FF2B5EF4-FFF2-40B4-BE49-F238E27FC236}">
              <a16:creationId xmlns:a16="http://schemas.microsoft.com/office/drawing/2014/main" id="{4BDC6A58-497B-484D-9142-A1A9E3FFB04D}"/>
            </a:ext>
          </a:extLst>
        </xdr:cNvPr>
        <xdr:cNvCxnSpPr/>
      </xdr:nvCxnSpPr>
      <xdr:spPr>
        <a:xfrm flipH="1">
          <a:off x="140771" y="4416137"/>
          <a:ext cx="13607" cy="25309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161182</xdr:colOff>
      <xdr:row>25</xdr:row>
      <xdr:rowOff>93396</xdr:rowOff>
    </xdr:from>
    <xdr:to>
      <xdr:col>1</xdr:col>
      <xdr:colOff>116649</xdr:colOff>
      <xdr:row>25</xdr:row>
      <xdr:rowOff>100199</xdr:rowOff>
    </xdr:to>
    <xdr:cxnSp macro="">
      <xdr:nvCxnSpPr>
        <xdr:cNvPr id="4" name="Straight Arrow Connector 3">
          <a:extLst>
            <a:ext uri="{FF2B5EF4-FFF2-40B4-BE49-F238E27FC236}">
              <a16:creationId xmlns:a16="http://schemas.microsoft.com/office/drawing/2014/main" id="{CF3560F9-FE17-4FDD-9FAB-9C9AE972B1F4}"/>
            </a:ext>
          </a:extLst>
        </xdr:cNvPr>
        <xdr:cNvCxnSpPr/>
      </xdr:nvCxnSpPr>
      <xdr:spPr>
        <a:xfrm>
          <a:off x="161182" y="4422941"/>
          <a:ext cx="163285" cy="68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129886</xdr:colOff>
      <xdr:row>40</xdr:row>
      <xdr:rowOff>22514</xdr:rowOff>
    </xdr:from>
    <xdr:to>
      <xdr:col>1</xdr:col>
      <xdr:colOff>85353</xdr:colOff>
      <xdr:row>40</xdr:row>
      <xdr:rowOff>29317</xdr:rowOff>
    </xdr:to>
    <xdr:cxnSp macro="">
      <xdr:nvCxnSpPr>
        <xdr:cNvPr id="5" name="Straight Arrow Connector 4">
          <a:extLst>
            <a:ext uri="{FF2B5EF4-FFF2-40B4-BE49-F238E27FC236}">
              <a16:creationId xmlns:a16="http://schemas.microsoft.com/office/drawing/2014/main" id="{D7334BC9-1B21-4B8E-A7D5-8313B558AE2C}"/>
            </a:ext>
          </a:extLst>
        </xdr:cNvPr>
        <xdr:cNvCxnSpPr/>
      </xdr:nvCxnSpPr>
      <xdr:spPr>
        <a:xfrm>
          <a:off x="129886" y="6949787"/>
          <a:ext cx="163285" cy="68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138545</xdr:colOff>
      <xdr:row>9</xdr:row>
      <xdr:rowOff>152259</xdr:rowOff>
    </xdr:from>
    <xdr:to>
      <xdr:col>7</xdr:col>
      <xdr:colOff>571500</xdr:colOff>
      <xdr:row>33</xdr:row>
      <xdr:rowOff>103908</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112568</xdr:colOff>
      <xdr:row>9</xdr:row>
      <xdr:rowOff>160921</xdr:rowOff>
    </xdr:from>
    <xdr:to>
      <xdr:col>15</xdr:col>
      <xdr:colOff>640772</xdr:colOff>
      <xdr:row>33</xdr:row>
      <xdr:rowOff>51953</xdr:rowOff>
    </xdr:to>
    <xdr:graphicFrame macro="">
      <xdr:nvGraphicFramePr>
        <xdr:cNvPr id="3" name="Chart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16</xdr:col>
      <xdr:colOff>147205</xdr:colOff>
      <xdr:row>34</xdr:row>
      <xdr:rowOff>65671</xdr:rowOff>
    </xdr:from>
    <xdr:to>
      <xdr:col>24</xdr:col>
      <xdr:colOff>147205</xdr:colOff>
      <xdr:row>57</xdr:row>
      <xdr:rowOff>147203</xdr:rowOff>
    </xdr:to>
    <xdr:graphicFrame macro="">
      <xdr:nvGraphicFramePr>
        <xdr:cNvPr id="4" name="Chart 3">
          <a:extLst>
            <a:ext uri="{FF2B5EF4-FFF2-40B4-BE49-F238E27FC236}">
              <a16:creationId xmlns:a16="http://schemas.microsoft.com/office/drawing/2014/main" id="{00000000-0008-0000-0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24</xdr:col>
      <xdr:colOff>233797</xdr:colOff>
      <xdr:row>9</xdr:row>
      <xdr:rowOff>126283</xdr:rowOff>
    </xdr:from>
    <xdr:to>
      <xdr:col>33</xdr:col>
      <xdr:colOff>43297</xdr:colOff>
      <xdr:row>32</xdr:row>
      <xdr:rowOff>180974</xdr:rowOff>
    </xdr:to>
    <xdr:graphicFrame macro="">
      <xdr:nvGraphicFramePr>
        <xdr:cNvPr id="5" name="Chart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129885</xdr:colOff>
      <xdr:row>34</xdr:row>
      <xdr:rowOff>34636</xdr:rowOff>
    </xdr:from>
    <xdr:to>
      <xdr:col>7</xdr:col>
      <xdr:colOff>545523</xdr:colOff>
      <xdr:row>58</xdr:row>
      <xdr:rowOff>17317</xdr:rowOff>
    </xdr:to>
    <xdr:graphicFrame macro="">
      <xdr:nvGraphicFramePr>
        <xdr:cNvPr id="6" name="Chart 5">
          <a:extLst>
            <a:ext uri="{FF2B5EF4-FFF2-40B4-BE49-F238E27FC236}">
              <a16:creationId xmlns:a16="http://schemas.microsoft.com/office/drawing/2014/main" id="{00000000-0008-0000-0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181841</xdr:colOff>
      <xdr:row>34</xdr:row>
      <xdr:rowOff>30674</xdr:rowOff>
    </xdr:from>
    <xdr:to>
      <xdr:col>15</xdr:col>
      <xdr:colOff>649431</xdr:colOff>
      <xdr:row>57</xdr:row>
      <xdr:rowOff>155862</xdr:rowOff>
    </xdr:to>
    <xdr:graphicFrame macro="">
      <xdr:nvGraphicFramePr>
        <xdr:cNvPr id="7" name="Chart 6">
          <a:extLst>
            <a:ext uri="{FF2B5EF4-FFF2-40B4-BE49-F238E27FC236}">
              <a16:creationId xmlns:a16="http://schemas.microsoft.com/office/drawing/2014/main" id="{00000000-0008-0000-0C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16</xdr:col>
      <xdr:colOff>86592</xdr:colOff>
      <xdr:row>9</xdr:row>
      <xdr:rowOff>143241</xdr:rowOff>
    </xdr:from>
    <xdr:to>
      <xdr:col>24</xdr:col>
      <xdr:colOff>121226</xdr:colOff>
      <xdr:row>33</xdr:row>
      <xdr:rowOff>69271</xdr:rowOff>
    </xdr:to>
    <xdr:graphicFrame macro="">
      <xdr:nvGraphicFramePr>
        <xdr:cNvPr id="8" name="Chart 7">
          <a:extLst>
            <a:ext uri="{FF2B5EF4-FFF2-40B4-BE49-F238E27FC236}">
              <a16:creationId xmlns:a16="http://schemas.microsoft.com/office/drawing/2014/main" id="{00000000-0008-0000-0C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24</xdr:col>
      <xdr:colOff>259773</xdr:colOff>
      <xdr:row>34</xdr:row>
      <xdr:rowOff>22014</xdr:rowOff>
    </xdr:from>
    <xdr:to>
      <xdr:col>33</xdr:col>
      <xdr:colOff>25978</xdr:colOff>
      <xdr:row>57</xdr:row>
      <xdr:rowOff>121226</xdr:rowOff>
    </xdr:to>
    <xdr:graphicFrame macro="">
      <xdr:nvGraphicFramePr>
        <xdr:cNvPr id="9" name="Chart 8">
          <a:extLst>
            <a:ext uri="{FF2B5EF4-FFF2-40B4-BE49-F238E27FC236}">
              <a16:creationId xmlns:a16="http://schemas.microsoft.com/office/drawing/2014/main" id="{00000000-0008-0000-0C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smwii/Downloads/Trondheim%20Port%20Model%20V0016.xlsm" TargetMode="External"/><Relationship Id="rId2" Type="http://schemas.openxmlformats.org/officeDocument/2006/relationships/externalLinkPath" Target="file:///C:\Users\smwii\Downloads\Trondheim%20Port%20Model%20V0016.xlsm" TargetMode="External"/><Relationship Id="rId1" Type="http://schemas.openxmlformats.org/officeDocument/2006/relationships/externalLinkPath" Target="/Users/smwii/Downloads/Trondheim%20Port%20Model%20V0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Inputs"/>
      <sheetName val="Summary"/>
      <sheetName val="Sensi"/>
      <sheetName val="Dates"/>
      <sheetName val="Timing"/>
      <sheetName val="Dashboard"/>
      <sheetName val="Operations"/>
      <sheetName val="Uses &amp; Sources"/>
      <sheetName val="Depreciation"/>
      <sheetName val="FS"/>
      <sheetName val="Financing"/>
      <sheetName val="Tax"/>
      <sheetName val="Graphs"/>
      <sheetName val="Source Register"/>
      <sheetName val="Disclai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8">
    <wetp:webextensionref xmlns:r="http://schemas.openxmlformats.org/officeDocument/2006/relationships" r:id="rId1"/>
  </wetp:taskpane>
  <wetp:taskpane dockstate="right" visibility="0" width="438"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B0C27A2-4B93-4FCC-A0A2-38640A3406FE}">
  <we:reference id="wa200009404" version="1.0.0.8" store="en-US" storeType="OMEX"/>
  <we:alternateReferences>
    <we:reference id="WA200009404" version="1.0.0.8" store="" storeType="OMEX"/>
  </we:alternateReferences>
  <we:properties>
    <we:property name="claude.fileId" value="&quot;c554e54e-23ee-4b7a-a6d6-1cc090aa491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B2911E48-BB13-4201-AC61-95EB37806EB8}">
  <we:reference id="wa200010725" version="1.0.0.1" store="en-GB" storeType="OMEX"/>
  <we:alternateReferences>
    <we:reference id="WA200010725" version="1.0.0.1" store="" storeType="OMEX"/>
  </we:alternateReferences>
  <we:properties>
    <we:property name="claude.fileId" value="&quot;0501d0ed-0a3f-4416-bc9d-c4105be7955b&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indexbox.io/search/plate-heat-exchanger-price/" TargetMode="External"/><Relationship Id="rId2" Type="http://schemas.openxmlformats.org/officeDocument/2006/relationships/hyperlink" Target="https://www.sciencedirect.com/science/article/abs/pii/S1364032120305086" TargetMode="External"/><Relationship Id="rId1" Type="http://schemas.openxmlformats.org/officeDocument/2006/relationships/hyperlink" Target="https://docs.nrel.gov/docs/fy23osti/84560.pdf" TargetMode="External"/><Relationship Id="rId6" Type="http://schemas.openxmlformats.org/officeDocument/2006/relationships/drawing" Target="../drawings/drawing4.xml"/><Relationship Id="rId5" Type="http://schemas.openxmlformats.org/officeDocument/2006/relationships/hyperlink" Target="https://qualityhomeaircare.com/heat-pump-compressor-lifespan-how-long-do-compressors-last/" TargetMode="External"/><Relationship Id="rId4" Type="http://schemas.openxmlformats.org/officeDocument/2006/relationships/hyperlink" Target="https://www.sciencedirect.com/science/article/pii/S2405829722000174"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deppmann.com/blog/monday-morning-minutes/heat-exchanger-types-and-where-to-use-them-part-3-close-temperature-applications/" TargetMode="External"/><Relationship Id="rId3" Type="http://schemas.openxmlformats.org/officeDocument/2006/relationships/hyperlink" Target="https://gdr.openei.org/files/1180/DE-EE0008103%20Final%20Report%2011.14.2019.pdf" TargetMode="External"/><Relationship Id="rId7" Type="http://schemas.openxmlformats.org/officeDocument/2006/relationships/hyperlink" Target="https://www.indexbox.io/search/plate-heat-exchanger-price/" TargetMode="External"/><Relationship Id="rId2" Type="http://schemas.openxmlformats.org/officeDocument/2006/relationships/hyperlink" Target="https://cordis.europa.eu/project/id/GE.-00306-94/pl" TargetMode="External"/><Relationship Id="rId1" Type="http://schemas.openxmlformats.org/officeDocument/2006/relationships/hyperlink" Target="https://cordis.europa.eu/project/id/GE.-00306-94/pl" TargetMode="External"/><Relationship Id="rId6" Type="http://schemas.openxmlformats.org/officeDocument/2006/relationships/hyperlink" Target="https://www.indexbox.io/search/plate-heat-exchanger-price/" TargetMode="External"/><Relationship Id="rId11" Type="http://schemas.openxmlformats.org/officeDocument/2006/relationships/drawing" Target="../drawings/drawing5.xml"/><Relationship Id="rId5" Type="http://schemas.openxmlformats.org/officeDocument/2006/relationships/hyperlink" Target="https://www.indexbox.io/search/plate-heat-exchanger-price/" TargetMode="External"/><Relationship Id="rId10" Type="http://schemas.openxmlformats.org/officeDocument/2006/relationships/hyperlink" Target="https://mcdonaldwaterstorage.com/wp-content/uploads/2023/03/Design-Guide-for-Stored-Hot-Water-Solutions-in-Heat-Networks.pdf" TargetMode="External"/><Relationship Id="rId4" Type="http://schemas.openxmlformats.org/officeDocument/2006/relationships/hyperlink" Target="https://www.osti.gov/servlets/purl/5581519-WS1dP9/" TargetMode="External"/><Relationship Id="rId9" Type="http://schemas.openxmlformats.org/officeDocument/2006/relationships/hyperlink" Target="https://www.deppmann.com/blog/monday-morning-minutes/heat-exchanger-types-and-where-to-use-them-part-3-close-temperature-applications/"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5C160-D184-4D82-8D52-A3C75A066CAD}">
  <sheetPr codeName="Sheet13"/>
  <dimension ref="B1:BP362"/>
  <sheetViews>
    <sheetView zoomScale="85" zoomScaleNormal="85" workbookViewId="0">
      <selection activeCell="J16" sqref="J16"/>
    </sheetView>
  </sheetViews>
  <sheetFormatPr defaultColWidth="10.7109375" defaultRowHeight="14.25"/>
  <cols>
    <col min="1" max="1" width="1" style="325" customWidth="1"/>
    <col min="2" max="3" width="10.7109375" style="325" customWidth="1"/>
    <col min="4" max="4" width="10.7109375" style="325"/>
    <col min="5" max="5" width="10.7109375" style="325" customWidth="1"/>
    <col min="6" max="6" width="12.7109375" style="325" customWidth="1"/>
    <col min="7" max="15" width="10.7109375" style="325"/>
    <col min="16" max="16" width="10.7109375" style="326"/>
    <col min="17" max="67" width="10.7109375" style="327"/>
    <col min="68" max="68" width="10.7109375" style="328"/>
    <col min="69" max="16384" width="10.7109375" style="325"/>
  </cols>
  <sheetData>
    <row r="1" spans="2:14" s="4" customFormat="1" ht="63.95" customHeight="1"/>
    <row r="2" spans="2:14" ht="12" customHeight="1">
      <c r="I2" s="329"/>
    </row>
    <row r="3" spans="2:14" ht="12" customHeight="1">
      <c r="B3" s="330"/>
      <c r="C3" s="330"/>
      <c r="D3" s="330"/>
      <c r="E3" s="330"/>
      <c r="F3" s="330"/>
      <c r="G3" s="330"/>
      <c r="H3" s="330"/>
      <c r="I3" s="330"/>
      <c r="J3" s="330"/>
      <c r="K3" s="330"/>
      <c r="L3" s="330"/>
      <c r="M3" s="330"/>
      <c r="N3" s="330"/>
    </row>
    <row r="4" spans="2:14" ht="12" customHeight="1">
      <c r="B4" s="330"/>
      <c r="C4" s="330"/>
      <c r="D4" s="330"/>
      <c r="E4" s="330"/>
      <c r="F4" s="330"/>
      <c r="G4" s="330"/>
      <c r="H4" s="330"/>
      <c r="I4" s="330"/>
      <c r="J4" s="330"/>
      <c r="K4" s="330"/>
      <c r="L4" s="330"/>
      <c r="M4" s="330"/>
      <c r="N4" s="330"/>
    </row>
    <row r="5" spans="2:14" ht="12" customHeight="1">
      <c r="B5" s="330"/>
      <c r="C5" s="330"/>
      <c r="D5" s="330"/>
      <c r="E5" s="330"/>
      <c r="F5" s="330"/>
      <c r="G5" s="330"/>
      <c r="H5" s="330"/>
      <c r="I5" s="330"/>
      <c r="J5" s="330"/>
      <c r="K5" s="330"/>
      <c r="L5" s="330"/>
      <c r="M5" s="330"/>
      <c r="N5" s="330"/>
    </row>
    <row r="6" spans="2:14" ht="12" customHeight="1">
      <c r="B6" s="330"/>
      <c r="C6" s="330"/>
      <c r="D6" s="330"/>
      <c r="E6" s="330"/>
      <c r="F6" s="330"/>
      <c r="G6" s="330"/>
      <c r="H6" s="330"/>
      <c r="I6" s="330"/>
      <c r="J6" s="330"/>
      <c r="K6" s="330"/>
      <c r="L6" s="330"/>
      <c r="M6" s="330"/>
      <c r="N6" s="330"/>
    </row>
    <row r="7" spans="2:14" ht="12" customHeight="1">
      <c r="B7" s="330"/>
      <c r="C7" s="330"/>
      <c r="D7" s="330"/>
      <c r="E7" s="330"/>
      <c r="F7" s="330"/>
      <c r="G7" s="330"/>
      <c r="H7" s="330"/>
      <c r="I7" s="330"/>
      <c r="J7" s="330"/>
      <c r="K7" s="330"/>
      <c r="L7" s="330"/>
      <c r="M7" s="330"/>
      <c r="N7" s="330"/>
    </row>
    <row r="8" spans="2:14" ht="12" customHeight="1">
      <c r="B8" s="330"/>
      <c r="C8" s="330"/>
      <c r="D8" s="330"/>
      <c r="E8" s="396" t="s">
        <v>0</v>
      </c>
      <c r="F8" s="396"/>
      <c r="G8" s="396"/>
      <c r="H8" s="396"/>
      <c r="I8" s="396"/>
      <c r="J8" s="396"/>
      <c r="K8" s="330"/>
      <c r="L8" s="330"/>
      <c r="M8" s="330"/>
      <c r="N8" s="330"/>
    </row>
    <row r="9" spans="2:14" ht="12" customHeight="1">
      <c r="B9" s="330"/>
      <c r="C9" s="330"/>
      <c r="D9" s="330"/>
      <c r="E9" s="396"/>
      <c r="F9" s="396"/>
      <c r="G9" s="396"/>
      <c r="H9" s="396"/>
      <c r="I9" s="396"/>
      <c r="J9" s="396"/>
      <c r="K9" s="330"/>
      <c r="L9" s="330"/>
      <c r="M9" s="330"/>
      <c r="N9" s="330"/>
    </row>
    <row r="10" spans="2:14" ht="12" customHeight="1">
      <c r="B10" s="330"/>
      <c r="C10" s="330"/>
      <c r="D10" s="330"/>
      <c r="E10" s="396"/>
      <c r="F10" s="396"/>
      <c r="G10" s="396"/>
      <c r="H10" s="396"/>
      <c r="I10" s="396"/>
      <c r="J10" s="396"/>
      <c r="K10" s="330"/>
      <c r="L10" s="330"/>
      <c r="M10" s="330"/>
      <c r="N10" s="330"/>
    </row>
    <row r="11" spans="2:14" ht="12" customHeight="1">
      <c r="B11" s="330"/>
      <c r="C11" s="330"/>
      <c r="D11" s="330"/>
      <c r="E11" s="330"/>
      <c r="F11" s="330"/>
      <c r="G11" s="330"/>
      <c r="H11" s="330"/>
      <c r="I11" s="330"/>
      <c r="J11" s="330"/>
      <c r="K11" s="330"/>
      <c r="L11" s="330"/>
      <c r="M11" s="330"/>
      <c r="N11" s="330"/>
    </row>
    <row r="12" spans="2:14" ht="12" customHeight="1">
      <c r="B12" s="330"/>
      <c r="C12" s="330"/>
      <c r="D12" s="330"/>
      <c r="E12" s="330"/>
      <c r="F12" s="331" t="s">
        <v>1</v>
      </c>
      <c r="G12" s="330" t="s">
        <v>2</v>
      </c>
      <c r="H12" s="330"/>
      <c r="I12" s="332" t="s">
        <v>3</v>
      </c>
      <c r="J12" s="333">
        <f ca="1">TODAY()</f>
        <v>46286</v>
      </c>
      <c r="K12" s="330"/>
      <c r="L12" s="330"/>
      <c r="M12" s="330"/>
      <c r="N12" s="330"/>
    </row>
    <row r="13" spans="2:14" ht="12" customHeight="1">
      <c r="B13" s="330"/>
      <c r="C13" s="330"/>
      <c r="D13" s="330"/>
      <c r="E13" s="330"/>
      <c r="F13" s="330"/>
      <c r="G13" s="330"/>
      <c r="H13" s="330"/>
      <c r="I13" s="330"/>
      <c r="J13" s="330"/>
      <c r="K13" s="330"/>
      <c r="L13" s="330"/>
      <c r="M13" s="330"/>
      <c r="N13" s="330"/>
    </row>
    <row r="14" spans="2:14" ht="12" customHeight="1">
      <c r="B14" s="331"/>
      <c r="C14" s="330"/>
      <c r="D14" s="330"/>
      <c r="E14" s="330"/>
      <c r="F14" s="330"/>
      <c r="G14" s="330"/>
      <c r="H14" s="330"/>
      <c r="I14" s="330"/>
      <c r="J14" s="330"/>
      <c r="K14" s="330"/>
      <c r="L14" s="330"/>
      <c r="M14" s="330"/>
      <c r="N14" s="330"/>
    </row>
    <row r="15" spans="2:14" ht="12" customHeight="1">
      <c r="B15" s="330"/>
      <c r="C15" s="330"/>
      <c r="D15" s="330"/>
      <c r="E15" s="330"/>
      <c r="F15" s="331"/>
      <c r="G15" s="330"/>
      <c r="H15" s="330"/>
      <c r="I15" s="330"/>
      <c r="J15" s="330"/>
      <c r="K15" s="330"/>
      <c r="L15" s="330"/>
      <c r="M15" s="330"/>
      <c r="N15" s="330"/>
    </row>
    <row r="16" spans="2:14" ht="12" customHeight="1">
      <c r="B16" s="331"/>
      <c r="C16" s="330"/>
      <c r="D16" s="330"/>
      <c r="E16" s="330"/>
      <c r="F16" s="334"/>
      <c r="G16" s="330"/>
      <c r="H16" s="330"/>
      <c r="I16" s="330"/>
      <c r="J16" s="330"/>
      <c r="K16" s="330"/>
      <c r="L16" s="330"/>
      <c r="M16" s="330"/>
      <c r="N16" s="330"/>
    </row>
    <row r="17" spans="2:14" ht="12" customHeight="1">
      <c r="B17" s="331"/>
      <c r="C17" s="330"/>
      <c r="D17" s="330"/>
      <c r="E17" s="330"/>
      <c r="F17" s="334"/>
      <c r="G17" s="330"/>
      <c r="H17" s="330"/>
      <c r="I17" s="330"/>
      <c r="J17" s="330"/>
      <c r="K17" s="330"/>
      <c r="L17" s="330"/>
      <c r="M17" s="330"/>
      <c r="N17" s="330"/>
    </row>
    <row r="18" spans="2:14" ht="12" customHeight="1">
      <c r="B18" s="331"/>
      <c r="C18" s="330"/>
      <c r="D18" s="330"/>
      <c r="E18" s="330"/>
      <c r="F18" s="330"/>
      <c r="G18" s="330"/>
      <c r="H18" s="330"/>
      <c r="I18" s="330"/>
      <c r="J18" s="330"/>
      <c r="K18" s="330"/>
      <c r="L18" s="330"/>
      <c r="M18" s="330"/>
      <c r="N18" s="330"/>
    </row>
    <row r="19" spans="2:14" ht="12" customHeight="1">
      <c r="B19" s="331"/>
      <c r="C19" s="330"/>
      <c r="D19" s="330"/>
      <c r="E19" s="330"/>
      <c r="F19" s="331"/>
      <c r="G19" s="330"/>
      <c r="H19" s="330"/>
      <c r="I19" s="330"/>
      <c r="J19" s="330"/>
      <c r="K19" s="330"/>
      <c r="L19" s="330"/>
      <c r="M19" s="330"/>
      <c r="N19" s="330"/>
    </row>
    <row r="20" spans="2:14" ht="12" customHeight="1">
      <c r="B20" s="331"/>
      <c r="C20" s="330"/>
      <c r="D20" s="330"/>
      <c r="E20" s="330"/>
      <c r="F20" s="334"/>
      <c r="G20" s="330"/>
      <c r="H20" s="330"/>
      <c r="I20" s="330"/>
      <c r="J20" s="330"/>
      <c r="K20" s="330"/>
      <c r="L20" s="330"/>
      <c r="M20" s="330"/>
      <c r="N20" s="330"/>
    </row>
    <row r="21" spans="2:14" ht="12" customHeight="1">
      <c r="B21" s="330"/>
      <c r="C21" s="330"/>
      <c r="D21" s="330"/>
      <c r="E21" s="330"/>
      <c r="F21" s="330"/>
      <c r="G21" s="330"/>
      <c r="H21" s="330"/>
      <c r="I21" s="330"/>
      <c r="J21" s="330"/>
      <c r="K21" s="330"/>
      <c r="L21" s="330"/>
      <c r="M21" s="330"/>
      <c r="N21" s="330"/>
    </row>
    <row r="22" spans="2:14" ht="12" customHeight="1">
      <c r="B22" s="330"/>
      <c r="C22" s="330"/>
      <c r="D22" s="330"/>
      <c r="E22" s="330"/>
      <c r="F22" s="330"/>
      <c r="G22" s="330"/>
      <c r="H22" s="330"/>
      <c r="I22" s="330"/>
      <c r="J22" s="330"/>
      <c r="K22" s="330"/>
      <c r="L22" s="330"/>
      <c r="M22" s="330"/>
      <c r="N22" s="330"/>
    </row>
    <row r="23" spans="2:14" ht="12" customHeight="1">
      <c r="B23" s="330"/>
      <c r="C23" s="330"/>
      <c r="D23" s="330"/>
      <c r="E23" s="330"/>
      <c r="F23" s="330"/>
      <c r="G23" s="330"/>
      <c r="H23" s="330"/>
      <c r="I23" s="330"/>
      <c r="J23" s="330"/>
      <c r="K23" s="330"/>
      <c r="L23" s="330"/>
      <c r="M23" s="330"/>
      <c r="N23" s="330"/>
    </row>
    <row r="24" spans="2:14" ht="12" customHeight="1">
      <c r="B24" s="330"/>
      <c r="C24" s="330"/>
      <c r="D24" s="330"/>
      <c r="E24" s="330"/>
      <c r="F24" s="330"/>
      <c r="G24" s="330"/>
      <c r="H24" s="330"/>
      <c r="I24" s="330"/>
      <c r="J24" s="330"/>
      <c r="K24" s="330"/>
      <c r="L24" s="330"/>
      <c r="M24" s="330"/>
      <c r="N24" s="330"/>
    </row>
    <row r="25" spans="2:14" ht="12" customHeight="1">
      <c r="B25" s="330"/>
      <c r="C25" s="330"/>
      <c r="D25" s="330"/>
      <c r="E25" s="330"/>
      <c r="F25" s="330"/>
      <c r="G25" s="330"/>
      <c r="H25" s="330"/>
      <c r="I25" s="330"/>
      <c r="J25" s="330"/>
      <c r="K25" s="330"/>
      <c r="L25" s="330"/>
      <c r="M25" s="330"/>
      <c r="N25" s="330"/>
    </row>
    <row r="26" spans="2:14" ht="12" customHeight="1">
      <c r="B26" s="330"/>
      <c r="C26" s="330"/>
      <c r="D26" s="330"/>
      <c r="E26" s="330"/>
      <c r="F26" s="330"/>
      <c r="G26" s="330"/>
      <c r="H26" s="330"/>
      <c r="I26" s="330"/>
      <c r="J26" s="330"/>
      <c r="K26" s="330"/>
      <c r="L26" s="330"/>
      <c r="M26" s="330"/>
      <c r="N26" s="330"/>
    </row>
    <row r="27" spans="2:14" ht="12" customHeight="1">
      <c r="B27" s="330"/>
      <c r="C27" s="330"/>
      <c r="D27" s="330"/>
      <c r="E27" s="330"/>
      <c r="F27" s="330"/>
      <c r="G27" s="330"/>
      <c r="H27" s="330"/>
      <c r="I27" s="330"/>
      <c r="J27" s="330"/>
      <c r="K27" s="330"/>
      <c r="L27" s="330"/>
      <c r="M27" s="330"/>
      <c r="N27" s="330"/>
    </row>
    <row r="28" spans="2:14" ht="12" customHeight="1">
      <c r="B28" s="330"/>
      <c r="C28" s="330"/>
      <c r="D28" s="330"/>
      <c r="E28" s="330"/>
      <c r="F28" s="330"/>
      <c r="G28" s="330"/>
      <c r="H28" s="330"/>
      <c r="I28" s="330"/>
      <c r="J28" s="330"/>
      <c r="K28" s="330"/>
      <c r="L28" s="330"/>
      <c r="M28" s="330"/>
      <c r="N28" s="330"/>
    </row>
    <row r="29" spans="2:14" ht="12" customHeight="1">
      <c r="B29" s="330"/>
      <c r="C29" s="330"/>
      <c r="D29" s="330"/>
      <c r="E29" s="330"/>
      <c r="F29" s="330"/>
      <c r="G29" s="330"/>
      <c r="H29" s="330"/>
      <c r="I29" s="330"/>
      <c r="J29" s="330"/>
      <c r="K29" s="330"/>
      <c r="L29" s="330"/>
      <c r="M29" s="330"/>
      <c r="N29" s="330"/>
    </row>
    <row r="30" spans="2:14" ht="12" customHeight="1">
      <c r="B30" s="330"/>
      <c r="C30" s="330"/>
      <c r="D30" s="330"/>
      <c r="E30" s="330"/>
      <c r="F30" s="330"/>
      <c r="G30" s="330"/>
      <c r="H30" s="330"/>
      <c r="I30" s="330"/>
      <c r="J30" s="330"/>
      <c r="K30" s="330"/>
      <c r="L30" s="330"/>
      <c r="M30" s="330"/>
      <c r="N30" s="330"/>
    </row>
    <row r="31" spans="2:14" ht="12" customHeight="1">
      <c r="B31" s="330"/>
      <c r="C31" s="330"/>
      <c r="D31" s="330"/>
      <c r="E31" s="330"/>
      <c r="F31" s="330"/>
      <c r="G31" s="330"/>
      <c r="H31" s="330"/>
      <c r="I31" s="330"/>
      <c r="J31" s="330"/>
      <c r="K31" s="330"/>
      <c r="L31" s="330"/>
      <c r="M31" s="330"/>
      <c r="N31" s="330"/>
    </row>
    <row r="32" spans="2:14" ht="12" customHeight="1">
      <c r="B32" s="330"/>
      <c r="C32" s="330"/>
      <c r="D32" s="330"/>
      <c r="E32" s="330"/>
      <c r="F32" s="330"/>
      <c r="G32" s="330"/>
      <c r="H32" s="330"/>
      <c r="I32" s="330"/>
      <c r="J32" s="330"/>
      <c r="K32" s="330"/>
      <c r="L32" s="330"/>
      <c r="M32" s="330"/>
      <c r="N32" s="330"/>
    </row>
    <row r="33" spans="2:14" ht="12" customHeight="1">
      <c r="B33" s="330"/>
      <c r="C33" s="330"/>
      <c r="D33" s="330"/>
      <c r="E33" s="330"/>
      <c r="F33" s="330"/>
      <c r="G33" s="330"/>
      <c r="H33" s="330"/>
      <c r="I33" s="330"/>
      <c r="J33" s="330"/>
      <c r="K33" s="330"/>
      <c r="L33" s="330"/>
      <c r="M33" s="330"/>
      <c r="N33" s="330"/>
    </row>
    <row r="34" spans="2:14" ht="12" customHeight="1"/>
    <row r="35" spans="2:14" ht="12" customHeight="1"/>
    <row r="36" spans="2:14" ht="12" customHeight="1"/>
    <row r="37" spans="2:14" ht="12" customHeight="1"/>
    <row r="38" spans="2:14" ht="12" customHeight="1"/>
    <row r="39" spans="2:14" ht="12" customHeight="1"/>
    <row r="40" spans="2:14" ht="12" customHeight="1"/>
    <row r="41" spans="2:14" ht="12" customHeight="1"/>
    <row r="42" spans="2:14" ht="12" customHeight="1"/>
    <row r="43" spans="2:14" ht="12" customHeight="1"/>
    <row r="44" spans="2:14" ht="12" customHeight="1"/>
    <row r="45" spans="2:14" ht="12" customHeight="1"/>
    <row r="46" spans="2:14" ht="12" customHeight="1"/>
    <row r="47" spans="2:14" ht="12" customHeight="1"/>
    <row r="48" spans="2:14"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sheetData>
  <mergeCells count="1">
    <mergeCell ref="E8:J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3A656-8830-4642-B09A-D116C05E5F8D}">
  <sheetPr codeName="Sheet1"/>
  <dimension ref="B1:K62"/>
  <sheetViews>
    <sheetView showGridLines="0" zoomScale="70" zoomScaleNormal="70" workbookViewId="0">
      <pane ySplit="5" topLeftCell="A6" activePane="bottomLeft" state="frozen"/>
      <selection pane="bottomLeft" activeCell="C8" sqref="C8"/>
    </sheetView>
  </sheetViews>
  <sheetFormatPr defaultColWidth="9" defaultRowHeight="14.25" outlineLevelRow="1"/>
  <cols>
    <col min="1" max="1" width="1.7109375" style="349" customWidth="1"/>
    <col min="2" max="2" width="40.42578125" style="349" customWidth="1"/>
    <col min="3" max="3" width="33.7109375" style="349" customWidth="1"/>
    <col min="4" max="4" width="40.85546875" style="349" customWidth="1"/>
    <col min="5" max="5" width="17.85546875" style="349" customWidth="1"/>
    <col min="6" max="6" width="20.5703125" style="349" customWidth="1"/>
    <col min="7" max="7" width="19.42578125" style="349" customWidth="1"/>
    <col min="8" max="8" width="22.42578125" style="349" customWidth="1"/>
    <col min="9" max="9" width="14.42578125" style="349" customWidth="1"/>
    <col min="10" max="10" width="22.85546875" style="349" customWidth="1"/>
    <col min="11" max="11" width="23.42578125" style="349" customWidth="1"/>
    <col min="12" max="16384" width="9" style="349"/>
  </cols>
  <sheetData>
    <row r="1" spans="2:11" s="4" customFormat="1" ht="63.95" customHeight="1"/>
    <row r="6" spans="2:11">
      <c r="B6" s="348"/>
      <c r="C6" s="397"/>
      <c r="D6" s="397"/>
      <c r="E6" s="397"/>
      <c r="F6" s="397"/>
      <c r="G6" s="397"/>
      <c r="H6" s="397"/>
      <c r="I6" s="397"/>
      <c r="J6" s="397"/>
      <c r="K6" s="397"/>
    </row>
    <row r="7" spans="2:11">
      <c r="B7" s="398" t="s">
        <v>4</v>
      </c>
      <c r="C7" s="398"/>
      <c r="D7" s="398"/>
      <c r="E7" s="398"/>
      <c r="F7" s="398"/>
      <c r="G7" s="398"/>
      <c r="H7" s="398"/>
      <c r="I7" s="398"/>
      <c r="J7" s="398"/>
      <c r="K7" s="398"/>
    </row>
    <row r="9" spans="2:11">
      <c r="B9" s="399"/>
      <c r="C9" s="399"/>
      <c r="D9" s="399"/>
      <c r="E9" s="350"/>
      <c r="F9" s="350"/>
      <c r="G9" s="351"/>
      <c r="H9" s="351"/>
      <c r="I9" s="351"/>
      <c r="J9" s="351"/>
      <c r="K9" s="351"/>
    </row>
    <row r="10" spans="2:11" ht="74.099999999999994" customHeight="1">
      <c r="B10" s="400" t="s">
        <v>5</v>
      </c>
      <c r="C10" s="400"/>
      <c r="D10" s="400"/>
      <c r="E10" s="400"/>
      <c r="F10" s="400"/>
      <c r="G10" s="400"/>
      <c r="H10" s="400"/>
      <c r="I10" s="400"/>
      <c r="J10" s="400"/>
      <c r="K10" s="400"/>
    </row>
    <row r="11" spans="2:11">
      <c r="B11" s="400"/>
      <c r="C11" s="400"/>
      <c r="D11" s="400"/>
      <c r="E11" s="400"/>
      <c r="F11" s="400"/>
      <c r="G11" s="400"/>
      <c r="H11" s="400"/>
      <c r="I11" s="400"/>
      <c r="J11" s="400"/>
      <c r="K11" s="400"/>
    </row>
    <row r="12" spans="2:11" s="351" customFormat="1">
      <c r="B12" s="400"/>
      <c r="C12" s="400"/>
      <c r="D12" s="400"/>
      <c r="E12" s="400"/>
      <c r="F12" s="400"/>
      <c r="G12" s="400"/>
      <c r="H12" s="400"/>
      <c r="I12" s="400"/>
      <c r="J12" s="400"/>
      <c r="K12" s="400"/>
    </row>
    <row r="13" spans="2:11">
      <c r="B13" s="400"/>
      <c r="C13" s="400"/>
      <c r="D13" s="400"/>
      <c r="E13" s="400"/>
      <c r="F13" s="400"/>
      <c r="G13" s="400"/>
      <c r="H13" s="400"/>
      <c r="I13" s="400"/>
      <c r="J13" s="400"/>
      <c r="K13" s="400"/>
    </row>
    <row r="14" spans="2:11">
      <c r="B14" s="400"/>
      <c r="C14" s="400"/>
      <c r="D14" s="400"/>
      <c r="E14" s="400"/>
      <c r="F14" s="400"/>
      <c r="G14" s="400"/>
      <c r="H14" s="400"/>
      <c r="I14" s="400"/>
      <c r="J14" s="400"/>
      <c r="K14" s="400"/>
    </row>
    <row r="15" spans="2:11">
      <c r="B15" s="400"/>
      <c r="C15" s="400"/>
      <c r="D15" s="400"/>
      <c r="E15" s="400"/>
      <c r="F15" s="400"/>
      <c r="G15" s="400"/>
      <c r="H15" s="400"/>
      <c r="I15" s="400"/>
      <c r="J15" s="400"/>
      <c r="K15" s="400"/>
    </row>
    <row r="16" spans="2:11">
      <c r="B16" s="400"/>
      <c r="C16" s="400"/>
      <c r="D16" s="400"/>
      <c r="E16" s="400"/>
      <c r="F16" s="400"/>
      <c r="G16" s="400"/>
      <c r="H16" s="400"/>
      <c r="I16" s="400"/>
      <c r="J16" s="400"/>
      <c r="K16" s="400"/>
    </row>
    <row r="17" spans="2:11">
      <c r="B17" s="400"/>
      <c r="C17" s="400"/>
      <c r="D17" s="400"/>
      <c r="E17" s="400"/>
      <c r="F17" s="400"/>
      <c r="G17" s="400"/>
      <c r="H17" s="400"/>
      <c r="I17" s="400"/>
      <c r="J17" s="400"/>
      <c r="K17" s="400"/>
    </row>
    <row r="18" spans="2:11" ht="142.15" customHeight="1">
      <c r="B18" s="400"/>
      <c r="C18" s="400"/>
      <c r="D18" s="400"/>
      <c r="E18" s="400"/>
      <c r="F18" s="400"/>
      <c r="G18" s="400"/>
      <c r="H18" s="400"/>
      <c r="I18" s="400"/>
      <c r="J18" s="400"/>
      <c r="K18" s="400"/>
    </row>
    <row r="37" outlineLevel="1"/>
    <row r="38" outlineLevel="1"/>
    <row r="39" outlineLevel="1"/>
    <row r="40" outlineLevel="1"/>
    <row r="41" outlineLevel="1"/>
    <row r="42" outlineLevel="1"/>
    <row r="60" spans="2:4">
      <c r="B60" s="401"/>
      <c r="C60" s="402"/>
      <c r="D60" s="403"/>
    </row>
    <row r="61" spans="2:4">
      <c r="B61" s="401"/>
      <c r="C61" s="402"/>
      <c r="D61" s="404"/>
    </row>
    <row r="62" spans="2:4" ht="12.75" customHeight="1">
      <c r="B62" s="401"/>
      <c r="C62" s="402"/>
      <c r="D62" s="404"/>
    </row>
  </sheetData>
  <mergeCells count="7">
    <mergeCell ref="C6:K6"/>
    <mergeCell ref="B7:K7"/>
    <mergeCell ref="B9:D9"/>
    <mergeCell ref="B10:K18"/>
    <mergeCell ref="B60:B62"/>
    <mergeCell ref="C60:C62"/>
    <mergeCell ref="D60:D6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C955C-95C0-4A57-B881-C2921C93A9E8}">
  <sheetPr codeName="Sheet2"/>
  <dimension ref="B2:H32"/>
  <sheetViews>
    <sheetView showGridLines="0" tabSelected="1" topLeftCell="A8" zoomScale="85" zoomScaleNormal="85" workbookViewId="0">
      <selection activeCell="A18" sqref="A18:XFD18"/>
    </sheetView>
  </sheetViews>
  <sheetFormatPr defaultColWidth="9" defaultRowHeight="14.25"/>
  <cols>
    <col min="1" max="1" width="2" style="357" customWidth="1"/>
    <col min="2" max="2" width="4" style="357" customWidth="1"/>
    <col min="3" max="7" width="16" style="357" customWidth="1"/>
    <col min="8" max="8" width="33.140625" style="357" customWidth="1"/>
    <col min="9" max="16384" width="9" style="357"/>
  </cols>
  <sheetData>
    <row r="2" spans="2:8" s="356" customFormat="1" ht="18" customHeight="1">
      <c r="B2" s="356" t="s">
        <v>6</v>
      </c>
    </row>
    <row r="4" spans="2:8">
      <c r="C4" s="358" t="s">
        <v>7</v>
      </c>
    </row>
    <row r="5" spans="2:8" ht="72.75" customHeight="1">
      <c r="C5" s="395" t="s">
        <v>8</v>
      </c>
      <c r="D5" s="416"/>
      <c r="E5" s="416"/>
      <c r="F5" s="416"/>
      <c r="G5" s="416"/>
      <c r="H5" s="416"/>
    </row>
    <row r="6" spans="2:8" ht="39" customHeight="1">
      <c r="C6" s="358" t="s">
        <v>9</v>
      </c>
      <c r="D6" s="358"/>
      <c r="E6" s="358"/>
      <c r="F6" s="358"/>
      <c r="G6" s="358"/>
      <c r="H6" s="358"/>
    </row>
    <row r="7" spans="2:8" ht="161.25" customHeight="1">
      <c r="C7" s="395" t="s">
        <v>10</v>
      </c>
      <c r="D7" s="395"/>
      <c r="E7" s="395"/>
      <c r="F7" s="395"/>
      <c r="G7" s="395"/>
      <c r="H7" s="395"/>
    </row>
    <row r="8" spans="2:8" ht="15"/>
    <row r="9" spans="2:8">
      <c r="C9" s="358" t="s">
        <v>11</v>
      </c>
    </row>
    <row r="10" spans="2:8" ht="87" customHeight="1">
      <c r="C10" s="395" t="s">
        <v>12</v>
      </c>
      <c r="D10" s="416"/>
      <c r="E10" s="416"/>
      <c r="F10" s="416"/>
      <c r="G10" s="416"/>
      <c r="H10" s="416"/>
    </row>
    <row r="12" spans="2:8">
      <c r="C12" s="358" t="s">
        <v>13</v>
      </c>
    </row>
    <row r="13" spans="2:8" ht="32.1" customHeight="1">
      <c r="C13" s="395" t="s">
        <v>14</v>
      </c>
      <c r="D13" s="416"/>
      <c r="E13" s="416"/>
      <c r="F13" s="416"/>
      <c r="G13" s="416"/>
      <c r="H13" s="416"/>
    </row>
    <row r="14" spans="2:8" ht="22.5" customHeight="1">
      <c r="C14" s="395" t="s">
        <v>15</v>
      </c>
      <c r="D14" s="416"/>
      <c r="E14" s="416"/>
      <c r="F14" s="416"/>
      <c r="G14" s="416"/>
      <c r="H14" s="416"/>
    </row>
    <row r="15" spans="2:8" ht="32.1" customHeight="1">
      <c r="C15" s="395" t="s">
        <v>16</v>
      </c>
      <c r="D15" s="416"/>
      <c r="E15" s="416"/>
      <c r="F15" s="416"/>
      <c r="G15" s="416"/>
      <c r="H15" s="416"/>
    </row>
    <row r="16" spans="2:8" ht="32.1" customHeight="1">
      <c r="C16" s="395" t="s">
        <v>17</v>
      </c>
      <c r="D16" s="416"/>
      <c r="E16" s="416"/>
      <c r="F16" s="416"/>
      <c r="G16" s="416"/>
      <c r="H16" s="416"/>
    </row>
    <row r="18" spans="3:8">
      <c r="C18" s="358" t="s">
        <v>18</v>
      </c>
    </row>
    <row r="19" spans="3:8" ht="49.5" customHeight="1">
      <c r="C19" s="395" t="s">
        <v>19</v>
      </c>
      <c r="D19" s="416"/>
      <c r="E19" s="416"/>
      <c r="F19" s="416"/>
      <c r="G19" s="416"/>
      <c r="H19" s="416"/>
    </row>
    <row r="21" spans="3:8" ht="15">
      <c r="C21" s="358" t="s">
        <v>20</v>
      </c>
    </row>
    <row r="22" spans="3:8" ht="54" customHeight="1">
      <c r="C22" s="395" t="s">
        <v>21</v>
      </c>
      <c r="D22" s="416"/>
      <c r="E22" s="416"/>
      <c r="F22" s="416"/>
      <c r="G22" s="416"/>
      <c r="H22" s="416"/>
    </row>
    <row r="23" spans="3:8" ht="61.5" customHeight="1"/>
    <row r="24" spans="3:8" ht="15"/>
    <row r="25" spans="3:8" ht="15"/>
    <row r="26" spans="3:8" ht="15"/>
    <row r="27" spans="3:8" ht="15"/>
    <row r="28" spans="3:8" ht="15"/>
    <row r="29" spans="3:8" ht="15"/>
    <row r="30" spans="3:8" ht="15"/>
    <row r="31" spans="3:8" ht="15"/>
    <row r="32" spans="3:8" ht="15"/>
  </sheetData>
  <mergeCells count="9">
    <mergeCell ref="C22:H22"/>
    <mergeCell ref="C7:H7"/>
    <mergeCell ref="C16:H16"/>
    <mergeCell ref="C19:H19"/>
    <mergeCell ref="C5:H5"/>
    <mergeCell ref="C10:H10"/>
    <mergeCell ref="C13:H13"/>
    <mergeCell ref="C14:H14"/>
    <mergeCell ref="C15:H1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sheetPr>
  <dimension ref="A1:S185"/>
  <sheetViews>
    <sheetView showGridLines="0" zoomScale="60" zoomScaleNormal="60" workbookViewId="0">
      <selection activeCell="A19" sqref="A19"/>
    </sheetView>
  </sheetViews>
  <sheetFormatPr defaultColWidth="30" defaultRowHeight="14.25"/>
  <cols>
    <col min="1" max="1" width="46.7109375" style="185" customWidth="1"/>
    <col min="2" max="2" width="34.5703125" style="1" customWidth="1"/>
    <col min="3" max="3" width="10" style="1" customWidth="1"/>
    <col min="4" max="4" width="24.42578125" style="1" customWidth="1"/>
    <col min="5" max="5" width="22.28515625" style="1" customWidth="1"/>
    <col min="6" max="6" width="7.140625" style="1" customWidth="1"/>
    <col min="7" max="7" width="13.5703125" style="88" customWidth="1"/>
    <col min="8" max="8" width="1.42578125" style="1" customWidth="1"/>
    <col min="9" max="9" width="24.140625" style="1" customWidth="1"/>
    <col min="10" max="10" width="21.42578125" style="1" customWidth="1"/>
    <col min="11" max="11" width="50" style="1" customWidth="1"/>
    <col min="12" max="12" width="31" style="181" customWidth="1"/>
    <col min="13" max="13" width="30" customWidth="1"/>
    <col min="14" max="15" width="6" customWidth="1"/>
    <col min="16" max="16" width="13" customWidth="1"/>
    <col min="17" max="17" width="9" customWidth="1"/>
    <col min="18" max="18" width="4" customWidth="1"/>
    <col min="19" max="19" width="30" style="1" customWidth="1"/>
    <col min="20" max="16384" width="30" style="1"/>
  </cols>
  <sheetData>
    <row r="1" spans="2:19" ht="396.75" customHeight="1"/>
    <row r="2" spans="2:19" ht="19.149999999999999" customHeight="1" thickBot="1">
      <c r="B2" s="408" t="s">
        <v>22</v>
      </c>
      <c r="C2" s="417"/>
      <c r="D2" s="417"/>
      <c r="E2" s="417"/>
      <c r="F2" s="417"/>
      <c r="G2" s="418"/>
      <c r="I2" s="409" t="s">
        <v>23</v>
      </c>
      <c r="J2" s="419"/>
      <c r="K2" s="419"/>
      <c r="M2" s="359"/>
      <c r="S2"/>
    </row>
    <row r="3" spans="2:19" ht="13.5" customHeight="1" thickBot="1">
      <c r="B3" s="182" t="s">
        <v>24</v>
      </c>
      <c r="C3" s="159"/>
      <c r="D3" s="159"/>
      <c r="E3" s="159"/>
      <c r="F3" s="159"/>
      <c r="G3" s="289"/>
      <c r="I3" s="160" t="s">
        <v>25</v>
      </c>
      <c r="J3" s="159"/>
      <c r="K3" s="159"/>
      <c r="M3" s="257"/>
      <c r="S3"/>
    </row>
    <row r="4" spans="2:19" ht="13.5" customHeight="1" thickBot="1">
      <c r="I4" s="144"/>
      <c r="J4" s="5" t="s">
        <v>26</v>
      </c>
      <c r="K4" s="148" t="s">
        <v>27</v>
      </c>
      <c r="M4" s="88"/>
      <c r="S4"/>
    </row>
    <row r="5" spans="2:19" ht="13.5" customHeight="1">
      <c r="B5" s="183" t="s">
        <v>28</v>
      </c>
      <c r="C5" s="152" t="s">
        <v>26</v>
      </c>
      <c r="D5" s="152" t="s">
        <v>29</v>
      </c>
      <c r="E5" s="150" t="s">
        <v>30</v>
      </c>
      <c r="F5" s="161"/>
      <c r="G5" s="290"/>
      <c r="H5" s="175"/>
      <c r="I5" s="173" t="s">
        <v>31</v>
      </c>
      <c r="J5" s="150" t="str">
        <f>Inputs!$D$7</f>
        <v>HUF</v>
      </c>
      <c r="K5" s="377">
        <f>FS!G74</f>
        <v>314796.07598522952</v>
      </c>
      <c r="M5" s="88"/>
      <c r="S5"/>
    </row>
    <row r="6" spans="2:19" ht="13.5" customHeight="1">
      <c r="B6" s="25" t="s">
        <v>32</v>
      </c>
      <c r="C6" s="7" t="s">
        <v>33</v>
      </c>
      <c r="D6" s="8" t="s">
        <v>34</v>
      </c>
      <c r="E6" s="9">
        <f>MATCH(D6,Parameters!$L$8:$L$10,0)</f>
        <v>1</v>
      </c>
      <c r="G6" s="291"/>
      <c r="H6" s="175"/>
      <c r="I6" s="144" t="s">
        <v>35</v>
      </c>
      <c r="J6" s="7"/>
      <c r="K6" s="378">
        <f>FS!G76</f>
        <v>0.13222178816795346</v>
      </c>
      <c r="M6" s="88"/>
      <c r="S6"/>
    </row>
    <row r="7" spans="2:19" ht="13.5" customHeight="1">
      <c r="B7" s="25" t="s">
        <v>36</v>
      </c>
      <c r="C7" s="7" t="s">
        <v>33</v>
      </c>
      <c r="D7" s="8" t="s">
        <v>37</v>
      </c>
      <c r="G7" s="291"/>
      <c r="H7" s="175"/>
      <c r="I7" s="144" t="s">
        <v>38</v>
      </c>
      <c r="J7" s="7"/>
      <c r="K7" s="378">
        <f>FS!G75</f>
        <v>8.6029377579689023E-2</v>
      </c>
      <c r="M7" s="88"/>
      <c r="S7"/>
    </row>
    <row r="8" spans="2:19" ht="13.5" customHeight="1">
      <c r="B8" s="25" t="s">
        <v>39</v>
      </c>
      <c r="C8" s="7" t="s">
        <v>40</v>
      </c>
      <c r="D8" s="9">
        <f>MATCH($D$7,Parameters!$D$8:$D$10,0)</f>
        <v>1</v>
      </c>
      <c r="G8" s="291"/>
      <c r="H8" s="175"/>
      <c r="I8" s="144" t="s">
        <v>41</v>
      </c>
      <c r="J8" s="7"/>
      <c r="K8" s="378">
        <f>FS!G64</f>
        <v>6.937678571428571E-2</v>
      </c>
      <c r="M8" s="88"/>
      <c r="S8"/>
    </row>
    <row r="9" spans="2:19" ht="13.5" customHeight="1">
      <c r="B9" s="25" t="s">
        <v>42</v>
      </c>
      <c r="C9" s="7" t="s">
        <v>33</v>
      </c>
      <c r="D9" s="347" t="str">
        <f>IFERROR(INDEX(Parameters!$D$59:$D$84,MATCH($D$10,Parameters!$C$59:$C$84,0)),"EUR")</f>
        <v>HUF</v>
      </c>
      <c r="G9" s="291"/>
      <c r="H9" s="175"/>
      <c r="I9" s="144" t="s">
        <v>43</v>
      </c>
      <c r="J9" s="7" t="s">
        <v>44</v>
      </c>
      <c r="K9" s="379">
        <f>FS!G77</f>
        <v>9</v>
      </c>
      <c r="M9" s="88"/>
      <c r="S9"/>
    </row>
    <row r="10" spans="2:19" ht="13.5" customHeight="1" thickBot="1">
      <c r="B10" s="25" t="s">
        <v>45</v>
      </c>
      <c r="C10" s="7" t="s">
        <v>33</v>
      </c>
      <c r="D10" s="8" t="s">
        <v>46</v>
      </c>
      <c r="G10" s="291"/>
      <c r="H10" s="175"/>
      <c r="I10" s="174" t="s">
        <v>47</v>
      </c>
      <c r="J10" s="151" t="str">
        <f>Inputs!$D$7</f>
        <v>HUF</v>
      </c>
      <c r="K10" s="380">
        <f>FS!G83</f>
        <v>87.947827610915027</v>
      </c>
      <c r="M10" s="88"/>
      <c r="S10"/>
    </row>
    <row r="11" spans="2:19" ht="13.5" customHeight="1" thickBot="1">
      <c r="B11" s="184"/>
      <c r="C11" s="151"/>
      <c r="D11" s="153"/>
      <c r="E11" s="156"/>
      <c r="F11" s="153"/>
      <c r="G11" s="292"/>
      <c r="K11" s="147"/>
      <c r="M11" s="88"/>
      <c r="S11"/>
    </row>
    <row r="12" spans="2:19" ht="13.5" customHeight="1">
      <c r="K12" s="147"/>
      <c r="M12" s="88"/>
      <c r="S12"/>
    </row>
    <row r="13" spans="2:19" ht="13.5" customHeight="1">
      <c r="B13" s="14" t="s">
        <v>48</v>
      </c>
      <c r="C13" s="4"/>
      <c r="D13" s="4"/>
      <c r="E13" s="4"/>
      <c r="F13" s="4"/>
      <c r="G13" s="293"/>
      <c r="I13" s="145" t="s">
        <v>49</v>
      </c>
      <c r="J13" s="143"/>
      <c r="K13" s="319"/>
      <c r="M13" s="88"/>
      <c r="S13"/>
    </row>
    <row r="14" spans="2:19" ht="13.5" customHeight="1" thickBot="1">
      <c r="J14" s="149" t="s">
        <v>26</v>
      </c>
      <c r="K14" s="148" t="s">
        <v>27</v>
      </c>
      <c r="M14" s="88"/>
      <c r="S14"/>
    </row>
    <row r="15" spans="2:19" ht="13.5" customHeight="1">
      <c r="B15" s="183" t="s">
        <v>50</v>
      </c>
      <c r="C15" s="152" t="s">
        <v>26</v>
      </c>
      <c r="D15" s="152" t="s">
        <v>51</v>
      </c>
      <c r="E15" s="155"/>
      <c r="F15" s="161"/>
      <c r="G15" s="290"/>
      <c r="H15" s="162"/>
      <c r="I15" s="173" t="s">
        <v>52</v>
      </c>
      <c r="J15" s="150" t="str">
        <f>Inputs!$D$7</f>
        <v>HUF</v>
      </c>
      <c r="K15" s="377">
        <f>Construction!I58</f>
        <v>715407.0375475199</v>
      </c>
      <c r="S15"/>
    </row>
    <row r="16" spans="2:19" ht="13.5" customHeight="1">
      <c r="B16" s="25" t="s">
        <v>53</v>
      </c>
      <c r="C16" s="7" t="s">
        <v>54</v>
      </c>
      <c r="D16" s="8" t="s">
        <v>55</v>
      </c>
      <c r="G16" s="291"/>
      <c r="H16" s="162"/>
      <c r="I16" s="144" t="s">
        <v>56</v>
      </c>
      <c r="J16" s="7" t="str">
        <f>Inputs!$D$7</f>
        <v>HUF</v>
      </c>
      <c r="K16" s="381">
        <f>Financing!G20</f>
        <v>214622.11126425597</v>
      </c>
    </row>
    <row r="17" spans="2:11" ht="13.5" customHeight="1">
      <c r="B17" s="25" t="s">
        <v>57</v>
      </c>
      <c r="C17" s="7" t="s">
        <v>54</v>
      </c>
      <c r="D17" s="8" t="s">
        <v>58</v>
      </c>
      <c r="G17" s="291"/>
      <c r="H17" s="162"/>
      <c r="I17" s="144" t="s">
        <v>59</v>
      </c>
      <c r="J17" s="7" t="str">
        <f>Inputs!$D$7</f>
        <v>HUF</v>
      </c>
      <c r="K17" s="381">
        <f>Financing!G21</f>
        <v>357703.51877375995</v>
      </c>
    </row>
    <row r="18" spans="2:11" ht="13.5" customHeight="1">
      <c r="B18" s="25" t="s">
        <v>60</v>
      </c>
      <c r="C18" s="7" t="s">
        <v>54</v>
      </c>
      <c r="D18" s="8" t="s">
        <v>55</v>
      </c>
      <c r="G18" s="291"/>
      <c r="H18" s="162"/>
      <c r="I18" s="144" t="s">
        <v>61</v>
      </c>
      <c r="J18" s="7" t="str">
        <f>Inputs!$D$7</f>
        <v>HUF</v>
      </c>
      <c r="K18" s="381">
        <f>Financing!G22</f>
        <v>157283.29969052156</v>
      </c>
    </row>
    <row r="19" spans="2:11" ht="13.5" customHeight="1" thickBot="1">
      <c r="B19" s="184"/>
      <c r="C19" s="151"/>
      <c r="D19" s="153"/>
      <c r="E19" s="156"/>
      <c r="F19" s="153"/>
      <c r="G19" s="292"/>
      <c r="H19" s="162"/>
      <c r="I19" s="144" t="s">
        <v>62</v>
      </c>
      <c r="J19" s="7"/>
      <c r="K19" s="382">
        <f>Financing!G62</f>
        <v>1.8625217334040105</v>
      </c>
    </row>
    <row r="20" spans="2:11" ht="13.5" customHeight="1" thickBot="1">
      <c r="H20" s="162"/>
      <c r="I20" s="174" t="s">
        <v>63</v>
      </c>
      <c r="J20" s="151"/>
      <c r="K20" s="383">
        <f>Financing!G63</f>
        <v>2.2230460851936207</v>
      </c>
    </row>
    <row r="21" spans="2:11" ht="13.5" customHeight="1">
      <c r="B21" s="14" t="s">
        <v>64</v>
      </c>
      <c r="C21" s="4"/>
      <c r="D21" s="4"/>
      <c r="E21" s="4"/>
      <c r="F21" s="4"/>
      <c r="G21" s="293"/>
      <c r="K21" s="146"/>
    </row>
    <row r="22" spans="2:11" ht="13.5" customHeight="1" thickBot="1">
      <c r="I22" s="145" t="s">
        <v>65</v>
      </c>
      <c r="J22" s="145"/>
      <c r="K22" s="320"/>
    </row>
    <row r="23" spans="2:11" ht="13.5" customHeight="1" thickBot="1">
      <c r="B23" s="183" t="s">
        <v>66</v>
      </c>
      <c r="C23" s="152" t="s">
        <v>26</v>
      </c>
      <c r="D23" s="152" t="s">
        <v>67</v>
      </c>
      <c r="E23" s="155"/>
      <c r="F23" s="161"/>
      <c r="G23" s="290"/>
      <c r="J23" s="148" t="s">
        <v>26</v>
      </c>
      <c r="K23" s="148" t="s">
        <v>27</v>
      </c>
    </row>
    <row r="24" spans="2:11" ht="13.5" customHeight="1">
      <c r="B24" s="25" t="s">
        <v>68</v>
      </c>
      <c r="C24" s="7" t="s">
        <v>69</v>
      </c>
      <c r="D24" s="12" t="str">
        <f>IF(Dates!$L$3=0,"OK","CHECK")</f>
        <v>OK</v>
      </c>
      <c r="G24" s="291"/>
      <c r="H24" s="162"/>
      <c r="I24" s="173" t="s">
        <v>70</v>
      </c>
      <c r="J24" s="150" t="s">
        <v>71</v>
      </c>
      <c r="K24" s="384">
        <f>Operations!N26</f>
        <v>1643.2978612800002</v>
      </c>
    </row>
    <row r="25" spans="2:11" ht="13.5" customHeight="1">
      <c r="B25" s="25" t="s">
        <v>72</v>
      </c>
      <c r="C25" s="7" t="s">
        <v>69</v>
      </c>
      <c r="D25" s="12" t="str">
        <f>IF(Timing!$L$3=0,"OK","CHECK")</f>
        <v>OK</v>
      </c>
      <c r="G25" s="291"/>
      <c r="H25" s="162"/>
      <c r="I25" s="144" t="s">
        <v>73</v>
      </c>
      <c r="J25" s="7" t="s">
        <v>71</v>
      </c>
      <c r="K25" s="385">
        <f>Operations!N27</f>
        <v>256.70213871999977</v>
      </c>
    </row>
    <row r="26" spans="2:11" ht="13.5" customHeight="1">
      <c r="B26" s="25" t="s">
        <v>74</v>
      </c>
      <c r="C26" s="7" t="s">
        <v>69</v>
      </c>
      <c r="D26" s="12" t="str">
        <f>IF(AND(Inputs_Dynamic!$U$7="OK",Inputs_Dynamic!$U$8="OK",Inputs_Dynamic!$U$9="OK"),"OK","CHECK")</f>
        <v>OK</v>
      </c>
      <c r="G26" s="291"/>
      <c r="H26" s="162"/>
      <c r="I26" s="144" t="s">
        <v>75</v>
      </c>
      <c r="J26" s="7" t="s">
        <v>71</v>
      </c>
      <c r="K26" s="385">
        <f>Operations!N43</f>
        <v>200.31057276001832</v>
      </c>
    </row>
    <row r="27" spans="2:11" ht="13.5" customHeight="1" thickBot="1">
      <c r="B27" s="184" t="s">
        <v>76</v>
      </c>
      <c r="C27" s="151" t="s">
        <v>69</v>
      </c>
      <c r="D27" s="154" t="str">
        <f>Inputs!$I$133</f>
        <v>MISMATCH - FX risk</v>
      </c>
      <c r="E27" s="156"/>
      <c r="F27" s="153"/>
      <c r="G27" s="292"/>
      <c r="H27" s="162"/>
      <c r="I27" s="144" t="s">
        <v>77</v>
      </c>
      <c r="J27" s="7" t="str">
        <f>Inputs!$D$7</f>
        <v>HUF</v>
      </c>
      <c r="K27" s="381">
        <f>Operations!N71</f>
        <v>65841.451208973405</v>
      </c>
    </row>
    <row r="28" spans="2:11" ht="13.5" customHeight="1" thickBot="1">
      <c r="H28" s="162"/>
      <c r="I28" s="174" t="s">
        <v>78</v>
      </c>
      <c r="J28" s="151" t="str">
        <f>Inputs!$D$7</f>
        <v>HUF</v>
      </c>
      <c r="K28" s="386">
        <f>Operations!N91</f>
        <v>68596.941725047218</v>
      </c>
    </row>
    <row r="29" spans="2:11" ht="13.5" customHeight="1">
      <c r="B29" s="14" t="s">
        <v>79</v>
      </c>
      <c r="C29" s="14"/>
      <c r="D29" s="14"/>
      <c r="E29" s="14"/>
      <c r="F29" s="14"/>
      <c r="G29" s="294"/>
      <c r="K29" s="15"/>
    </row>
    <row r="30" spans="2:11" ht="13.5" customHeight="1" thickBot="1">
      <c r="C30" s="121"/>
      <c r="D30" s="153"/>
      <c r="E30" s="121"/>
      <c r="I30" s="145" t="s">
        <v>80</v>
      </c>
      <c r="J30" s="145"/>
      <c r="K30" s="320"/>
    </row>
    <row r="31" spans="2:11" ht="13.5" customHeight="1" thickBot="1">
      <c r="B31" s="173" t="s">
        <v>81</v>
      </c>
      <c r="C31" s="155"/>
      <c r="D31" s="157" t="str">
        <f>IF(FS!G13=0,"Balanced","CHECK")</f>
        <v>Balanced</v>
      </c>
      <c r="E31" s="155"/>
      <c r="F31" s="161"/>
      <c r="G31" s="290"/>
      <c r="J31" s="148" t="s">
        <v>26</v>
      </c>
      <c r="K31" s="148" t="s">
        <v>27</v>
      </c>
    </row>
    <row r="32" spans="2:11" ht="13.5" customHeight="1">
      <c r="B32" s="144" t="s">
        <v>82</v>
      </c>
      <c r="D32" s="158" t="str">
        <f>IF(Operations!H2+Construction!G2+Depreciation!H2+Financing!H2+Tax!H2+FS!H2=0,"PASS","CHECK")</f>
        <v>PASS</v>
      </c>
      <c r="G32" s="291"/>
      <c r="H32" s="162"/>
      <c r="I32" s="173" t="s">
        <v>83</v>
      </c>
      <c r="J32" s="150" t="str">
        <f>Inputs!$D$7</f>
        <v>HUF</v>
      </c>
      <c r="K32" s="377">
        <f>FS!N19</f>
        <v>68596.941725047218</v>
      </c>
    </row>
    <row r="33" spans="2:11" ht="13.5" customHeight="1">
      <c r="B33" s="1" t="s">
        <v>84</v>
      </c>
      <c r="C33" s="7" t="s">
        <v>85</v>
      </c>
      <c r="D33" s="203">
        <f>IFERROR(Inputs!I89*1000/Inputs!I18,0)</f>
        <v>200</v>
      </c>
      <c r="G33" s="291"/>
      <c r="H33" s="162"/>
      <c r="I33" s="144" t="s">
        <v>86</v>
      </c>
      <c r="J33" s="7" t="str">
        <f>Inputs!$D$7</f>
        <v>HUF</v>
      </c>
      <c r="K33" s="381">
        <f>FS!N20</f>
        <v>-34307.071193781507</v>
      </c>
    </row>
    <row r="34" spans="2:11" ht="13.5" customHeight="1">
      <c r="D34" s="178"/>
      <c r="G34" s="291"/>
      <c r="H34" s="162"/>
      <c r="I34" s="144" t="s">
        <v>87</v>
      </c>
      <c r="J34" s="7" t="str">
        <f>Inputs!$D$7</f>
        <v>HUF</v>
      </c>
      <c r="K34" s="381">
        <f>FS!N25</f>
        <v>13074.456435301225</v>
      </c>
    </row>
    <row r="35" spans="2:11" ht="13.5" customHeight="1" thickBot="1">
      <c r="B35" s="156"/>
      <c r="C35" s="156"/>
      <c r="D35" s="156"/>
      <c r="E35" s="156"/>
      <c r="F35" s="153"/>
      <c r="G35" s="292"/>
      <c r="H35" s="162"/>
      <c r="I35" s="174" t="s">
        <v>88</v>
      </c>
      <c r="J35" s="151" t="str">
        <f>Inputs!$D$7</f>
        <v>HUF</v>
      </c>
      <c r="K35" s="386">
        <f>FS!N31</f>
        <v>46908.251926067613</v>
      </c>
    </row>
    <row r="36" spans="2:11" ht="6" customHeight="1"/>
    <row r="37" spans="2:11" ht="19.899999999999999" customHeight="1"/>
    <row r="38" spans="2:11" ht="16.149999999999999" customHeight="1">
      <c r="B38" s="410" t="s">
        <v>89</v>
      </c>
      <c r="C38" s="419"/>
      <c r="D38" s="419"/>
      <c r="E38" s="419"/>
      <c r="F38" s="419"/>
      <c r="G38" s="419"/>
      <c r="H38" s="419"/>
      <c r="I38" s="419"/>
      <c r="J38" s="419"/>
      <c r="K38" s="420"/>
    </row>
    <row r="39" spans="2:11" ht="13.5" customHeight="1">
      <c r="B39" s="411" t="s">
        <v>90</v>
      </c>
      <c r="C39" s="419"/>
      <c r="D39" s="419"/>
      <c r="E39" s="419"/>
      <c r="F39" s="419"/>
      <c r="G39" s="419"/>
      <c r="H39" s="419"/>
      <c r="I39" s="419"/>
      <c r="J39" s="419"/>
      <c r="K39" s="420"/>
    </row>
    <row r="40" spans="2:11" ht="13.5" customHeight="1">
      <c r="B40" s="360" t="s">
        <v>91</v>
      </c>
      <c r="C40" s="140"/>
      <c r="D40" s="140"/>
      <c r="E40" s="140"/>
      <c r="F40" s="140"/>
      <c r="G40" s="295"/>
      <c r="H40" s="140"/>
      <c r="I40" s="140"/>
      <c r="J40" s="140"/>
      <c r="K40" s="140"/>
    </row>
    <row r="41" spans="2:11" ht="13.5" customHeight="1">
      <c r="B41" s="141" t="s">
        <v>92</v>
      </c>
      <c r="C41" s="142" t="s">
        <v>26</v>
      </c>
      <c r="D41" s="142" t="s">
        <v>34</v>
      </c>
      <c r="E41" s="142" t="s">
        <v>93</v>
      </c>
      <c r="F41" s="142" t="s">
        <v>94</v>
      </c>
      <c r="G41" s="142" t="s">
        <v>95</v>
      </c>
    </row>
    <row r="42" spans="2:11" ht="43.5" customHeight="1">
      <c r="B42" s="361" t="s">
        <v>96</v>
      </c>
      <c r="C42" s="362" t="s">
        <v>97</v>
      </c>
      <c r="D42" s="177">
        <v>10000</v>
      </c>
      <c r="E42" s="177">
        <v>10000</v>
      </c>
      <c r="F42" s="297">
        <v>10000</v>
      </c>
      <c r="G42" s="298">
        <f>INDEX(D42:F42,$E$6)</f>
        <v>10000</v>
      </c>
      <c r="I42" s="407" t="s">
        <v>98</v>
      </c>
      <c r="J42" s="419"/>
      <c r="K42" s="419"/>
    </row>
    <row r="43" spans="2:11" ht="13.5" customHeight="1"/>
    <row r="44" spans="2:11" ht="13.5" customHeight="1">
      <c r="B44" s="360" t="s">
        <v>99</v>
      </c>
      <c r="C44" s="140"/>
      <c r="D44" s="140"/>
      <c r="E44" s="140"/>
      <c r="F44" s="140"/>
      <c r="G44" s="295"/>
      <c r="H44" s="140"/>
      <c r="I44" s="140"/>
      <c r="J44" s="140"/>
      <c r="K44" s="140"/>
    </row>
    <row r="45" spans="2:11" ht="13.5" customHeight="1">
      <c r="B45" s="141" t="s">
        <v>92</v>
      </c>
      <c r="C45" s="142" t="s">
        <v>26</v>
      </c>
      <c r="D45" s="142" t="s">
        <v>34</v>
      </c>
      <c r="E45" s="142" t="s">
        <v>93</v>
      </c>
      <c r="F45" s="142" t="s">
        <v>94</v>
      </c>
      <c r="G45" s="142" t="s">
        <v>95</v>
      </c>
    </row>
    <row r="46" spans="2:11" ht="13.5" customHeight="1">
      <c r="B46" s="88" t="s">
        <v>100</v>
      </c>
      <c r="C46" s="363" t="s">
        <v>101</v>
      </c>
      <c r="D46" s="164">
        <v>2027</v>
      </c>
      <c r="E46" s="164">
        <v>2027</v>
      </c>
      <c r="F46" s="299">
        <v>2027</v>
      </c>
      <c r="G46" s="300">
        <f>INDEX(D46:F46,$E$6)</f>
        <v>2027</v>
      </c>
      <c r="I46" s="406" t="s">
        <v>102</v>
      </c>
      <c r="J46" s="419"/>
      <c r="K46" s="419"/>
    </row>
    <row r="47" spans="2:11" ht="13.5" customHeight="1">
      <c r="B47" s="88" t="s">
        <v>103</v>
      </c>
      <c r="C47" s="363" t="s">
        <v>44</v>
      </c>
      <c r="D47" s="164">
        <v>2</v>
      </c>
      <c r="E47" s="164">
        <v>2</v>
      </c>
      <c r="F47" s="299">
        <v>2</v>
      </c>
      <c r="G47" s="300">
        <f>INDEX(D47:F47,$E$6)</f>
        <v>2</v>
      </c>
      <c r="I47" s="406" t="s">
        <v>104</v>
      </c>
      <c r="J47" s="419"/>
      <c r="K47" s="419"/>
    </row>
    <row r="48" spans="2:11" ht="13.5" customHeight="1">
      <c r="B48" s="88" t="s">
        <v>105</v>
      </c>
      <c r="C48" s="363" t="s">
        <v>44</v>
      </c>
      <c r="D48" s="164">
        <v>20</v>
      </c>
      <c r="E48" s="164">
        <v>20</v>
      </c>
      <c r="F48" s="299">
        <v>20</v>
      </c>
      <c r="G48" s="300">
        <f>INDEX(D48:F48,$E$6)</f>
        <v>20</v>
      </c>
      <c r="I48" s="406" t="s">
        <v>106</v>
      </c>
      <c r="J48" s="419"/>
      <c r="K48" s="419"/>
    </row>
    <row r="49" spans="2:11" ht="13.5" customHeight="1"/>
    <row r="50" spans="2:11" ht="13.5" customHeight="1">
      <c r="B50" s="360" t="s">
        <v>107</v>
      </c>
      <c r="C50" s="140"/>
      <c r="D50" s="140"/>
      <c r="E50" s="140"/>
      <c r="F50" s="140"/>
      <c r="G50" s="295"/>
      <c r="H50" s="140"/>
      <c r="I50" s="140"/>
      <c r="J50" s="140"/>
      <c r="K50" s="140"/>
    </row>
    <row r="51" spans="2:11" ht="13.5" customHeight="1">
      <c r="B51" s="141" t="s">
        <v>92</v>
      </c>
      <c r="C51" s="142" t="s">
        <v>26</v>
      </c>
      <c r="D51" s="142" t="s">
        <v>34</v>
      </c>
      <c r="E51" s="142" t="s">
        <v>93</v>
      </c>
      <c r="F51" s="142" t="s">
        <v>94</v>
      </c>
      <c r="G51" s="142" t="s">
        <v>95</v>
      </c>
    </row>
    <row r="52" spans="2:11" ht="13.5" customHeight="1">
      <c r="B52" s="88" t="s">
        <v>108</v>
      </c>
      <c r="C52" s="363" t="s">
        <v>109</v>
      </c>
      <c r="D52" s="165">
        <v>55</v>
      </c>
      <c r="E52" s="165">
        <v>60</v>
      </c>
      <c r="F52" s="301">
        <v>50</v>
      </c>
      <c r="G52" s="304">
        <f>INDEX(D52:F52,$E$6)</f>
        <v>55</v>
      </c>
      <c r="I52" s="406" t="s">
        <v>110</v>
      </c>
      <c r="J52" s="419"/>
      <c r="K52" s="419"/>
    </row>
    <row r="53" spans="2:11" ht="13.5" customHeight="1">
      <c r="B53" s="88" t="s">
        <v>111</v>
      </c>
      <c r="C53" s="363" t="s">
        <v>112</v>
      </c>
      <c r="D53" s="163">
        <v>800</v>
      </c>
      <c r="E53" s="163">
        <v>800</v>
      </c>
      <c r="F53" s="302">
        <v>800</v>
      </c>
      <c r="G53" s="280">
        <f>INDEX(D53:F53,$E$6)</f>
        <v>800</v>
      </c>
      <c r="I53" s="406" t="s">
        <v>113</v>
      </c>
      <c r="J53" s="419"/>
      <c r="K53" s="419"/>
    </row>
    <row r="54" spans="2:11" ht="13.5" customHeight="1">
      <c r="B54" s="88" t="s">
        <v>114</v>
      </c>
      <c r="C54" s="363" t="s">
        <v>115</v>
      </c>
      <c r="D54" s="166">
        <v>0.9</v>
      </c>
      <c r="E54" s="166">
        <v>0.85</v>
      </c>
      <c r="F54" s="303">
        <v>0.95</v>
      </c>
      <c r="G54" s="305">
        <f>INDEX(D54:F54,$E$6)</f>
        <v>0.9</v>
      </c>
      <c r="I54" s="406" t="s">
        <v>116</v>
      </c>
      <c r="J54" s="419"/>
      <c r="K54" s="419"/>
    </row>
    <row r="55" spans="2:11" ht="13.5" customHeight="1"/>
    <row r="56" spans="2:11" ht="13.5" customHeight="1">
      <c r="B56" s="360" t="s">
        <v>117</v>
      </c>
      <c r="C56" s="140"/>
      <c r="D56" s="140"/>
      <c r="E56" s="140"/>
      <c r="F56" s="140"/>
      <c r="G56" s="295"/>
      <c r="H56" s="140"/>
      <c r="I56" s="140"/>
      <c r="J56" s="140"/>
      <c r="K56" s="140"/>
    </row>
    <row r="57" spans="2:11" ht="13.5" customHeight="1">
      <c r="B57" s="141" t="s">
        <v>92</v>
      </c>
      <c r="C57" s="142" t="s">
        <v>26</v>
      </c>
      <c r="D57" s="142" t="s">
        <v>34</v>
      </c>
      <c r="E57" s="142" t="s">
        <v>93</v>
      </c>
      <c r="F57" s="142" t="s">
        <v>94</v>
      </c>
      <c r="G57" s="142" t="s">
        <v>95</v>
      </c>
    </row>
    <row r="58" spans="2:11" ht="13.5" customHeight="1">
      <c r="B58" s="88" t="s">
        <v>118</v>
      </c>
      <c r="C58" s="363" t="s">
        <v>115</v>
      </c>
      <c r="D58" s="166">
        <v>0.5</v>
      </c>
      <c r="E58" s="166">
        <v>0.45</v>
      </c>
      <c r="F58" s="303">
        <v>0.55000000000000004</v>
      </c>
      <c r="G58" s="305">
        <f>INDEX(D58:F58,$E$6)</f>
        <v>0.5</v>
      </c>
      <c r="I58" s="406" t="s">
        <v>119</v>
      </c>
      <c r="J58" s="419"/>
      <c r="K58" s="419"/>
    </row>
    <row r="59" spans="2:11" ht="13.5" customHeight="1">
      <c r="B59" s="88" t="s">
        <v>120</v>
      </c>
      <c r="C59" s="363" t="s">
        <v>55</v>
      </c>
      <c r="D59" s="164">
        <v>1</v>
      </c>
      <c r="E59" s="164">
        <v>1</v>
      </c>
      <c r="F59" s="299">
        <v>1</v>
      </c>
      <c r="G59" s="300">
        <f>INDEX(D59:F59,$E$6)</f>
        <v>1</v>
      </c>
      <c r="I59" s="406" t="s">
        <v>121</v>
      </c>
      <c r="J59" s="419"/>
      <c r="K59" s="419"/>
    </row>
    <row r="60" spans="2:11" ht="13.5" customHeight="1">
      <c r="B60" s="88" t="s">
        <v>122</v>
      </c>
      <c r="C60" s="363" t="str">
        <f>Inputs!$D$7&amp;"/kW_th"</f>
        <v>HUF/kW_th</v>
      </c>
      <c r="D60" s="163">
        <v>350</v>
      </c>
      <c r="E60" s="163">
        <v>400</v>
      </c>
      <c r="F60" s="302">
        <v>300</v>
      </c>
      <c r="G60" s="280">
        <f>INDEX(D60:F60,$E$6)</f>
        <v>350</v>
      </c>
      <c r="I60" s="406" t="s">
        <v>123</v>
      </c>
      <c r="J60" s="419"/>
      <c r="K60" s="419"/>
    </row>
    <row r="61" spans="2:11" ht="13.5" customHeight="1"/>
    <row r="62" spans="2:11">
      <c r="B62" s="360" t="s">
        <v>124</v>
      </c>
      <c r="C62" s="140"/>
      <c r="D62" s="140"/>
      <c r="E62" s="140"/>
      <c r="F62" s="140"/>
      <c r="G62" s="295"/>
      <c r="H62" s="140"/>
      <c r="I62" s="140"/>
      <c r="J62" s="140"/>
      <c r="K62" s="140"/>
    </row>
    <row r="63" spans="2:11">
      <c r="B63" s="141" t="s">
        <v>92</v>
      </c>
      <c r="C63" s="142" t="s">
        <v>26</v>
      </c>
      <c r="D63" s="142" t="s">
        <v>34</v>
      </c>
      <c r="E63" s="142" t="s">
        <v>93</v>
      </c>
      <c r="F63" s="142" t="s">
        <v>94</v>
      </c>
      <c r="G63" s="142" t="s">
        <v>95</v>
      </c>
    </row>
    <row r="64" spans="2:11">
      <c r="B64" s="88" t="s">
        <v>125</v>
      </c>
      <c r="C64" s="363" t="s">
        <v>55</v>
      </c>
      <c r="D64" s="164">
        <v>1</v>
      </c>
      <c r="E64" s="164">
        <v>1</v>
      </c>
      <c r="F64" s="299">
        <v>1</v>
      </c>
      <c r="G64" s="300">
        <f>INDEX(D64:F64,$E$6)</f>
        <v>1</v>
      </c>
      <c r="I64" s="405" t="s">
        <v>126</v>
      </c>
      <c r="J64" s="419"/>
      <c r="K64" s="420"/>
    </row>
    <row r="65" spans="2:11">
      <c r="B65" s="88" t="s">
        <v>127</v>
      </c>
      <c r="C65" s="363" t="str">
        <f>Inputs!$D$7&amp;"/kW_th"</f>
        <v>HUF/kW_th</v>
      </c>
      <c r="D65" s="163">
        <v>80</v>
      </c>
      <c r="E65" s="163">
        <v>90</v>
      </c>
      <c r="F65" s="302">
        <v>70</v>
      </c>
      <c r="G65" s="280">
        <f>INDEX(D65:F65,$E$6)</f>
        <v>80</v>
      </c>
      <c r="I65" s="405" t="s">
        <v>128</v>
      </c>
      <c r="J65" s="419"/>
      <c r="K65" s="420"/>
    </row>
    <row r="67" spans="2:11">
      <c r="B67" s="360" t="s">
        <v>129</v>
      </c>
      <c r="C67" s="140"/>
      <c r="D67" s="140"/>
      <c r="E67" s="140"/>
      <c r="F67" s="140"/>
      <c r="G67" s="295"/>
      <c r="H67" s="140"/>
      <c r="I67" s="140"/>
      <c r="J67" s="140"/>
      <c r="K67" s="140"/>
    </row>
    <row r="68" spans="2:11">
      <c r="B68" s="141" t="s">
        <v>92</v>
      </c>
      <c r="C68" s="142" t="s">
        <v>26</v>
      </c>
      <c r="D68" s="142" t="s">
        <v>34</v>
      </c>
      <c r="E68" s="142" t="s">
        <v>93</v>
      </c>
      <c r="F68" s="142" t="s">
        <v>94</v>
      </c>
      <c r="G68" s="142" t="s">
        <v>95</v>
      </c>
    </row>
    <row r="69" spans="2:11">
      <c r="B69" s="88"/>
      <c r="C69" s="363"/>
      <c r="D69" s="163"/>
      <c r="E69" s="163"/>
      <c r="F69" s="302"/>
      <c r="G69" s="280"/>
      <c r="I69" s="405"/>
      <c r="J69" s="419"/>
      <c r="K69" s="420"/>
    </row>
    <row r="70" spans="2:11">
      <c r="B70" s="88"/>
      <c r="C70" s="363"/>
      <c r="D70" s="163"/>
      <c r="E70" s="163"/>
      <c r="F70" s="302"/>
      <c r="G70" s="280"/>
      <c r="I70" s="405"/>
      <c r="J70" s="419"/>
      <c r="K70" s="420"/>
    </row>
    <row r="71" spans="2:11">
      <c r="B71" s="88" t="s">
        <v>130</v>
      </c>
      <c r="C71" s="363" t="str">
        <f>Inputs!$D$7&amp;"/kWh_th"</f>
        <v>HUF/kWh_th</v>
      </c>
      <c r="D71" s="163">
        <v>50</v>
      </c>
      <c r="E71" s="163">
        <v>50</v>
      </c>
      <c r="F71" s="302">
        <v>50</v>
      </c>
      <c r="G71" s="280">
        <f t="shared" ref="G71:G74" si="0">INDEX(D71:F71,$E$6)</f>
        <v>50</v>
      </c>
      <c r="I71" s="405" t="s">
        <v>131</v>
      </c>
      <c r="J71" s="419"/>
      <c r="K71" s="420"/>
    </row>
    <row r="72" spans="2:11">
      <c r="B72" s="88" t="s">
        <v>132</v>
      </c>
      <c r="C72" s="363" t="s">
        <v>115</v>
      </c>
      <c r="D72" s="166">
        <v>0.9</v>
      </c>
      <c r="E72" s="166">
        <v>0.85</v>
      </c>
      <c r="F72" s="303">
        <v>0.92</v>
      </c>
      <c r="G72" s="305">
        <f t="shared" si="0"/>
        <v>0.9</v>
      </c>
      <c r="I72" s="405" t="s">
        <v>133</v>
      </c>
      <c r="J72" s="419"/>
      <c r="K72" s="420"/>
    </row>
    <row r="73" spans="2:11">
      <c r="B73" s="88" t="s">
        <v>134</v>
      </c>
      <c r="C73" s="363" t="s">
        <v>135</v>
      </c>
      <c r="D73" s="167">
        <v>1.4999999999999999E-2</v>
      </c>
      <c r="E73" s="167">
        <v>1.4999999999999999E-2</v>
      </c>
      <c r="F73" s="306">
        <v>1.4999999999999999E-2</v>
      </c>
      <c r="G73" s="307">
        <f t="shared" si="0"/>
        <v>1.4999999999999999E-2</v>
      </c>
      <c r="I73" s="405" t="s">
        <v>136</v>
      </c>
      <c r="J73" s="419"/>
      <c r="K73" s="420"/>
    </row>
    <row r="74" spans="2:11">
      <c r="B74" s="88" t="s">
        <v>137</v>
      </c>
      <c r="C74" s="363" t="s">
        <v>55</v>
      </c>
      <c r="D74" s="163">
        <v>300</v>
      </c>
      <c r="E74" s="163">
        <v>300</v>
      </c>
      <c r="F74" s="302">
        <v>300</v>
      </c>
      <c r="G74" s="280">
        <f t="shared" si="0"/>
        <v>300</v>
      </c>
      <c r="I74" s="405" t="s">
        <v>138</v>
      </c>
      <c r="J74" s="419"/>
      <c r="K74" s="420"/>
    </row>
    <row r="76" spans="2:11">
      <c r="B76" s="360" t="s">
        <v>139</v>
      </c>
      <c r="C76" s="140"/>
      <c r="D76" s="140"/>
      <c r="E76" s="140"/>
      <c r="F76" s="140"/>
      <c r="G76" s="295"/>
      <c r="H76" s="140"/>
      <c r="I76" s="140"/>
      <c r="J76" s="140"/>
      <c r="K76" s="140"/>
    </row>
    <row r="77" spans="2:11">
      <c r="B77" s="141" t="s">
        <v>92</v>
      </c>
      <c r="C77" s="142" t="s">
        <v>26</v>
      </c>
      <c r="D77" s="142" t="s">
        <v>34</v>
      </c>
      <c r="E77" s="142" t="s">
        <v>93</v>
      </c>
      <c r="F77" s="142" t="s">
        <v>94</v>
      </c>
      <c r="G77" s="142" t="s">
        <v>95</v>
      </c>
    </row>
    <row r="78" spans="2:11">
      <c r="B78" s="88" t="s">
        <v>140</v>
      </c>
      <c r="C78" s="363" t="s">
        <v>141</v>
      </c>
      <c r="D78" s="163">
        <v>100</v>
      </c>
      <c r="E78" s="163">
        <v>0</v>
      </c>
      <c r="F78" s="302">
        <v>0</v>
      </c>
      <c r="G78" s="280">
        <f>INDEX(D78:F78,$E$6)</f>
        <v>100</v>
      </c>
      <c r="I78" s="405" t="s">
        <v>142</v>
      </c>
      <c r="J78" s="419"/>
      <c r="K78" s="420"/>
    </row>
    <row r="79" spans="2:11">
      <c r="B79" s="88" t="s">
        <v>143</v>
      </c>
      <c r="C79" s="363" t="str">
        <f>Inputs!$D$7&amp;"/kWp"</f>
        <v>HUF/kWp</v>
      </c>
      <c r="D79" s="163">
        <v>800</v>
      </c>
      <c r="E79" s="163">
        <v>800</v>
      </c>
      <c r="F79" s="302">
        <v>800</v>
      </c>
      <c r="G79" s="280">
        <f>INDEX(D79:F79,$E$6)</f>
        <v>800</v>
      </c>
      <c r="I79" s="405" t="s">
        <v>144</v>
      </c>
      <c r="J79" s="419"/>
      <c r="K79" s="420"/>
    </row>
    <row r="80" spans="2:11">
      <c r="B80" s="88" t="s">
        <v>145</v>
      </c>
      <c r="C80" s="363" t="s">
        <v>146</v>
      </c>
      <c r="D80" s="163">
        <v>1150</v>
      </c>
      <c r="E80" s="163">
        <v>1150</v>
      </c>
      <c r="F80" s="302">
        <v>1150</v>
      </c>
      <c r="G80" s="280">
        <f>INDEX(D80:F80,$E$6)</f>
        <v>1150</v>
      </c>
      <c r="I80" s="405" t="s">
        <v>147</v>
      </c>
      <c r="J80" s="419"/>
      <c r="K80" s="420"/>
    </row>
    <row r="82" spans="2:11">
      <c r="B82" s="360" t="s">
        <v>148</v>
      </c>
      <c r="C82" s="140"/>
      <c r="D82" s="140"/>
      <c r="E82" s="140"/>
      <c r="F82" s="140"/>
      <c r="G82" s="295"/>
      <c r="H82" s="140"/>
      <c r="I82" s="140"/>
      <c r="J82" s="140"/>
      <c r="K82" s="140"/>
    </row>
    <row r="83" spans="2:11">
      <c r="B83" s="141" t="s">
        <v>92</v>
      </c>
      <c r="C83" s="142" t="s">
        <v>26</v>
      </c>
      <c r="D83" s="142" t="s">
        <v>34</v>
      </c>
      <c r="E83" s="142" t="s">
        <v>93</v>
      </c>
      <c r="F83" s="142" t="s">
        <v>94</v>
      </c>
      <c r="G83" s="142" t="s">
        <v>95</v>
      </c>
    </row>
    <row r="84" spans="2:11">
      <c r="B84" s="88" t="s">
        <v>149</v>
      </c>
      <c r="C84" s="363" t="s">
        <v>150</v>
      </c>
      <c r="D84" s="163">
        <v>500</v>
      </c>
      <c r="E84" s="163">
        <v>500</v>
      </c>
      <c r="F84" s="302">
        <v>500</v>
      </c>
      <c r="G84" s="280">
        <f t="shared" ref="G84:G92" si="1">INDEX(D84:F84,$E$6)</f>
        <v>500</v>
      </c>
      <c r="I84" s="405" t="s">
        <v>151</v>
      </c>
      <c r="J84" s="419"/>
      <c r="K84" s="420"/>
    </row>
    <row r="85" spans="2:11">
      <c r="B85" s="88" t="s">
        <v>152</v>
      </c>
      <c r="C85" s="363" t="str">
        <f>Inputs!$D$7&amp;"/yr"</f>
        <v>HUF/yr</v>
      </c>
      <c r="D85" s="163">
        <v>0</v>
      </c>
      <c r="E85" s="163">
        <v>0</v>
      </c>
      <c r="F85" s="302">
        <v>0</v>
      </c>
      <c r="G85" s="280">
        <f t="shared" si="1"/>
        <v>0</v>
      </c>
      <c r="I85" s="405" t="s">
        <v>153</v>
      </c>
      <c r="J85" s="419"/>
      <c r="K85" s="420"/>
    </row>
    <row r="86" spans="2:11">
      <c r="B86" s="88" t="s">
        <v>154</v>
      </c>
      <c r="C86" s="363" t="str">
        <f>Inputs!$D$7&amp;"/m"</f>
        <v>HUF/m</v>
      </c>
      <c r="D86" s="163">
        <v>175</v>
      </c>
      <c r="E86" s="163">
        <v>175</v>
      </c>
      <c r="F86" s="302">
        <v>175</v>
      </c>
      <c r="G86" s="280">
        <f t="shared" si="1"/>
        <v>175</v>
      </c>
      <c r="I86" s="405" t="s">
        <v>155</v>
      </c>
      <c r="J86" s="419"/>
      <c r="K86" s="420"/>
    </row>
    <row r="87" spans="2:11">
      <c r="B87" s="88" t="s">
        <v>156</v>
      </c>
      <c r="C87" s="363" t="str">
        <f>Inputs!$D$7&amp;"/m"</f>
        <v>HUF/m</v>
      </c>
      <c r="D87" s="163">
        <v>50</v>
      </c>
      <c r="E87" s="163">
        <v>50</v>
      </c>
      <c r="F87" s="302">
        <v>50</v>
      </c>
      <c r="G87" s="280">
        <f t="shared" si="1"/>
        <v>50</v>
      </c>
      <c r="I87" s="405" t="s">
        <v>157</v>
      </c>
      <c r="J87" s="419"/>
      <c r="K87" s="420"/>
    </row>
    <row r="88" spans="2:11">
      <c r="B88" s="88" t="s">
        <v>158</v>
      </c>
      <c r="C88" s="363" t="str">
        <f>Inputs!$D$7</f>
        <v>HUF</v>
      </c>
      <c r="D88" s="163">
        <v>40000</v>
      </c>
      <c r="E88" s="163">
        <v>50000</v>
      </c>
      <c r="F88" s="302">
        <v>30000</v>
      </c>
      <c r="G88" s="280">
        <f t="shared" si="1"/>
        <v>40000</v>
      </c>
      <c r="I88" s="405" t="s">
        <v>159</v>
      </c>
      <c r="J88" s="419"/>
      <c r="K88" s="420"/>
    </row>
    <row r="89" spans="2:11">
      <c r="B89" s="88" t="s">
        <v>160</v>
      </c>
      <c r="C89" s="363" t="str">
        <f>Inputs!$D$7</f>
        <v>HUF</v>
      </c>
      <c r="D89" s="163">
        <v>60000</v>
      </c>
      <c r="E89" s="163">
        <v>60000</v>
      </c>
      <c r="F89" s="302">
        <v>60000</v>
      </c>
      <c r="G89" s="280">
        <f t="shared" si="1"/>
        <v>60000</v>
      </c>
      <c r="I89" s="405" t="s">
        <v>161</v>
      </c>
      <c r="J89" s="419"/>
      <c r="K89" s="420"/>
    </row>
    <row r="90" spans="2:11">
      <c r="B90" s="88" t="s">
        <v>162</v>
      </c>
      <c r="C90" s="363" t="str">
        <f>Inputs!$D$7</f>
        <v>HUF</v>
      </c>
      <c r="D90" s="163">
        <v>20000</v>
      </c>
      <c r="E90" s="163">
        <v>20000</v>
      </c>
      <c r="F90" s="302">
        <v>20000</v>
      </c>
      <c r="G90" s="280">
        <f t="shared" si="1"/>
        <v>20000</v>
      </c>
      <c r="I90" s="405" t="s">
        <v>163</v>
      </c>
      <c r="J90" s="419"/>
      <c r="K90" s="420"/>
    </row>
    <row r="91" spans="2:11">
      <c r="B91" s="88" t="s">
        <v>164</v>
      </c>
      <c r="C91" s="363" t="s">
        <v>165</v>
      </c>
      <c r="D91" s="166">
        <v>0.08</v>
      </c>
      <c r="E91" s="166">
        <v>0.08</v>
      </c>
      <c r="F91" s="303">
        <v>0.08</v>
      </c>
      <c r="G91" s="305">
        <f t="shared" si="1"/>
        <v>0.08</v>
      </c>
      <c r="I91" s="405" t="s">
        <v>166</v>
      </c>
      <c r="J91" s="419"/>
      <c r="K91" s="420"/>
    </row>
    <row r="92" spans="2:11">
      <c r="B92" s="88" t="s">
        <v>167</v>
      </c>
      <c r="C92" s="363" t="s">
        <v>165</v>
      </c>
      <c r="D92" s="166">
        <v>0.1</v>
      </c>
      <c r="E92" s="166">
        <v>0.12</v>
      </c>
      <c r="F92" s="303">
        <v>0.08</v>
      </c>
      <c r="G92" s="305">
        <f t="shared" si="1"/>
        <v>0.1</v>
      </c>
      <c r="I92" s="405" t="s">
        <v>168</v>
      </c>
      <c r="J92" s="419"/>
      <c r="K92" s="420"/>
    </row>
    <row r="94" spans="2:11">
      <c r="B94" s="360" t="s">
        <v>169</v>
      </c>
      <c r="C94" s="140"/>
      <c r="D94" s="140"/>
      <c r="E94" s="140"/>
      <c r="F94" s="140"/>
      <c r="G94" s="295"/>
      <c r="H94" s="140"/>
      <c r="I94" s="140"/>
      <c r="J94" s="140"/>
      <c r="K94" s="140"/>
    </row>
    <row r="95" spans="2:11">
      <c r="B95" s="141" t="s">
        <v>92</v>
      </c>
      <c r="C95" s="142" t="s">
        <v>26</v>
      </c>
      <c r="D95" s="142" t="s">
        <v>34</v>
      </c>
      <c r="E95" s="142" t="s">
        <v>93</v>
      </c>
      <c r="F95" s="142" t="s">
        <v>94</v>
      </c>
      <c r="G95" s="142" t="s">
        <v>95</v>
      </c>
    </row>
    <row r="96" spans="2:11">
      <c r="B96" s="88" t="s">
        <v>170</v>
      </c>
      <c r="C96" s="363" t="s">
        <v>171</v>
      </c>
      <c r="D96" s="168" t="s">
        <v>172</v>
      </c>
      <c r="E96" s="168" t="s">
        <v>172</v>
      </c>
      <c r="F96" s="308" t="s">
        <v>172</v>
      </c>
      <c r="G96" s="309" t="str">
        <f t="shared" ref="G96:G103" si="2">INDEX(D96:F96,$E$6)</f>
        <v>Gas boiler</v>
      </c>
      <c r="I96" s="405" t="s">
        <v>173</v>
      </c>
      <c r="J96" s="419"/>
      <c r="K96" s="420"/>
    </row>
    <row r="97" spans="2:11">
      <c r="B97" s="88" t="s">
        <v>174</v>
      </c>
      <c r="C97" s="363" t="s">
        <v>71</v>
      </c>
      <c r="D97" s="163">
        <v>2000</v>
      </c>
      <c r="E97" s="163">
        <v>2000</v>
      </c>
      <c r="F97" s="302">
        <v>2000</v>
      </c>
      <c r="G97" s="280">
        <f t="shared" si="2"/>
        <v>2000</v>
      </c>
      <c r="I97" s="405" t="s">
        <v>175</v>
      </c>
      <c r="J97" s="419"/>
      <c r="K97" s="420"/>
    </row>
    <row r="98" spans="2:11">
      <c r="B98" s="88" t="s">
        <v>176</v>
      </c>
      <c r="C98" s="363" t="s">
        <v>115</v>
      </c>
      <c r="D98" s="166">
        <v>0.9</v>
      </c>
      <c r="E98" s="166">
        <v>0.9</v>
      </c>
      <c r="F98" s="303">
        <v>0.9</v>
      </c>
      <c r="G98" s="305">
        <f t="shared" si="2"/>
        <v>0.9</v>
      </c>
      <c r="I98" s="405" t="s">
        <v>177</v>
      </c>
      <c r="J98" s="419"/>
      <c r="K98" s="420"/>
    </row>
    <row r="99" spans="2:11">
      <c r="B99" s="88" t="s">
        <v>178</v>
      </c>
      <c r="C99" s="363" t="str">
        <f>Inputs!$D$7&amp;"/MWh"</f>
        <v>HUF/MWh</v>
      </c>
      <c r="D99" s="163">
        <v>55</v>
      </c>
      <c r="E99" s="163">
        <v>65</v>
      </c>
      <c r="F99" s="302">
        <v>48</v>
      </c>
      <c r="G99" s="280">
        <f t="shared" si="2"/>
        <v>55</v>
      </c>
      <c r="I99" s="405" t="s">
        <v>179</v>
      </c>
      <c r="J99" s="419"/>
      <c r="K99" s="420"/>
    </row>
    <row r="100" spans="2:11">
      <c r="B100" s="88" t="s">
        <v>180</v>
      </c>
      <c r="C100" s="363" t="s">
        <v>115</v>
      </c>
      <c r="D100" s="166">
        <v>0.05</v>
      </c>
      <c r="E100" s="166">
        <v>0.05</v>
      </c>
      <c r="F100" s="303">
        <v>0.05</v>
      </c>
      <c r="G100" s="305">
        <f t="shared" si="2"/>
        <v>0.05</v>
      </c>
      <c r="I100" s="405" t="s">
        <v>181</v>
      </c>
      <c r="J100" s="419"/>
      <c r="K100" s="420"/>
    </row>
    <row r="101" spans="2:11">
      <c r="B101" s="88" t="s">
        <v>182</v>
      </c>
      <c r="C101" s="363" t="str">
        <f>Inputs!$D$7&amp;"/MWh"</f>
        <v>HUF/MWh</v>
      </c>
      <c r="D101" s="163">
        <v>75</v>
      </c>
      <c r="E101" s="163">
        <v>65</v>
      </c>
      <c r="F101" s="302">
        <v>85</v>
      </c>
      <c r="G101" s="280">
        <f t="shared" si="2"/>
        <v>75</v>
      </c>
      <c r="I101" s="405" t="s">
        <v>183</v>
      </c>
      <c r="J101" s="419"/>
      <c r="K101" s="420"/>
    </row>
    <row r="102" spans="2:11">
      <c r="B102" s="88" t="s">
        <v>184</v>
      </c>
      <c r="C102" s="363" t="str">
        <f>Inputs!$D$7&amp;"/MWh"</f>
        <v>HUF/MWh</v>
      </c>
      <c r="D102" s="163">
        <v>90</v>
      </c>
      <c r="E102" s="163">
        <v>75</v>
      </c>
      <c r="F102" s="302">
        <v>105</v>
      </c>
      <c r="G102" s="280">
        <f t="shared" si="2"/>
        <v>90</v>
      </c>
      <c r="I102" s="405" t="s">
        <v>185</v>
      </c>
      <c r="J102" s="419"/>
      <c r="K102" s="420"/>
    </row>
    <row r="103" spans="2:11">
      <c r="B103" s="88" t="s">
        <v>186</v>
      </c>
      <c r="C103" s="363" t="str">
        <f>Inputs!$D$7&amp;"/yr"</f>
        <v>HUF/yr</v>
      </c>
      <c r="D103" s="163">
        <v>8000</v>
      </c>
      <c r="E103" s="163">
        <v>5000</v>
      </c>
      <c r="F103" s="302">
        <v>12000</v>
      </c>
      <c r="G103" s="280">
        <f t="shared" si="2"/>
        <v>8000</v>
      </c>
      <c r="I103" s="405" t="s">
        <v>187</v>
      </c>
      <c r="J103" s="419"/>
      <c r="K103" s="420"/>
    </row>
    <row r="105" spans="2:11">
      <c r="B105" s="360" t="s">
        <v>188</v>
      </c>
      <c r="C105" s="140"/>
      <c r="D105" s="140"/>
      <c r="E105" s="140"/>
      <c r="F105" s="140"/>
      <c r="G105" s="295"/>
      <c r="H105" s="140"/>
      <c r="I105" s="140"/>
      <c r="J105" s="140"/>
      <c r="K105" s="140"/>
    </row>
    <row r="106" spans="2:11">
      <c r="B106" s="141" t="s">
        <v>92</v>
      </c>
      <c r="C106" s="142" t="s">
        <v>26</v>
      </c>
      <c r="D106" s="142" t="s">
        <v>34</v>
      </c>
      <c r="E106" s="142" t="s">
        <v>93</v>
      </c>
      <c r="F106" s="142" t="s">
        <v>94</v>
      </c>
      <c r="G106" s="142" t="s">
        <v>95</v>
      </c>
    </row>
    <row r="107" spans="2:11">
      <c r="B107" s="88" t="s">
        <v>189</v>
      </c>
      <c r="C107" s="363" t="str">
        <f>Inputs!$D$7&amp;"/MWh"</f>
        <v>HUF/MWh</v>
      </c>
      <c r="D107" s="163">
        <v>120</v>
      </c>
      <c r="E107" s="163">
        <v>140</v>
      </c>
      <c r="F107" s="302">
        <v>100</v>
      </c>
      <c r="G107" s="280">
        <f t="shared" ref="G107:G112" si="3">INDEX(D107:F107,$E$6)</f>
        <v>120</v>
      </c>
      <c r="I107" s="405" t="s">
        <v>190</v>
      </c>
      <c r="J107" s="419"/>
      <c r="K107" s="420"/>
    </row>
    <row r="108" spans="2:11">
      <c r="B108" s="88" t="s">
        <v>191</v>
      </c>
      <c r="C108" s="363" t="s">
        <v>71</v>
      </c>
      <c r="D108" s="163">
        <v>50</v>
      </c>
      <c r="E108" s="163">
        <v>50</v>
      </c>
      <c r="F108" s="302">
        <v>50</v>
      </c>
      <c r="G108" s="280">
        <f t="shared" si="3"/>
        <v>50</v>
      </c>
      <c r="I108" s="405" t="s">
        <v>192</v>
      </c>
      <c r="J108" s="419"/>
      <c r="K108" s="420"/>
    </row>
    <row r="109" spans="2:11">
      <c r="B109" s="88" t="s">
        <v>193</v>
      </c>
      <c r="C109" s="363" t="str">
        <f>Inputs!$D$7&amp;"/MWh"</f>
        <v>HUF/MWh</v>
      </c>
      <c r="D109" s="163">
        <v>120</v>
      </c>
      <c r="E109" s="163">
        <v>140</v>
      </c>
      <c r="F109" s="302">
        <v>100</v>
      </c>
      <c r="G109" s="280">
        <f t="shared" si="3"/>
        <v>120</v>
      </c>
      <c r="I109" s="405" t="s">
        <v>194</v>
      </c>
      <c r="J109" s="419"/>
      <c r="K109" s="420"/>
    </row>
    <row r="110" spans="2:11">
      <c r="B110" s="88" t="s">
        <v>195</v>
      </c>
      <c r="C110" s="363" t="s">
        <v>196</v>
      </c>
      <c r="D110" s="167">
        <v>0.02</v>
      </c>
      <c r="E110" s="167">
        <v>2.5000000000000001E-2</v>
      </c>
      <c r="F110" s="306">
        <v>1.4999999999999999E-2</v>
      </c>
      <c r="G110" s="307">
        <f t="shared" si="3"/>
        <v>0.02</v>
      </c>
      <c r="I110" s="405" t="s">
        <v>197</v>
      </c>
      <c r="J110" s="419"/>
      <c r="K110" s="420"/>
    </row>
    <row r="111" spans="2:11">
      <c r="B111" s="88" t="s">
        <v>198</v>
      </c>
      <c r="C111" s="363" t="str">
        <f>Inputs!$D$7&amp;"/yr"</f>
        <v>HUF/yr</v>
      </c>
      <c r="D111" s="163">
        <v>8000</v>
      </c>
      <c r="E111" s="163">
        <v>10000</v>
      </c>
      <c r="F111" s="302">
        <v>6000</v>
      </c>
      <c r="G111" s="280">
        <f t="shared" si="3"/>
        <v>8000</v>
      </c>
      <c r="I111" s="405" t="s">
        <v>199</v>
      </c>
      <c r="J111" s="419"/>
      <c r="K111" s="420"/>
    </row>
    <row r="112" spans="2:11">
      <c r="B112" s="88" t="s">
        <v>200</v>
      </c>
      <c r="C112" s="363" t="s">
        <v>201</v>
      </c>
      <c r="D112" s="167">
        <v>0.01</v>
      </c>
      <c r="E112" s="167">
        <v>1.4999999999999999E-2</v>
      </c>
      <c r="F112" s="306">
        <v>5.0000000000000001E-3</v>
      </c>
      <c r="G112" s="307">
        <f t="shared" si="3"/>
        <v>0.01</v>
      </c>
      <c r="I112" s="405" t="s">
        <v>202</v>
      </c>
      <c r="J112" s="419"/>
      <c r="K112" s="420"/>
    </row>
    <row r="114" spans="2:11">
      <c r="B114" s="360" t="s">
        <v>203</v>
      </c>
      <c r="C114" s="140"/>
      <c r="D114" s="140"/>
      <c r="E114" s="140"/>
      <c r="F114" s="140"/>
      <c r="G114" s="295"/>
      <c r="H114" s="140"/>
      <c r="I114" s="140"/>
      <c r="J114" s="140"/>
      <c r="K114" s="140"/>
    </row>
    <row r="115" spans="2:11">
      <c r="B115" s="141" t="s">
        <v>92</v>
      </c>
      <c r="C115" s="142" t="s">
        <v>26</v>
      </c>
      <c r="D115" s="142" t="s">
        <v>34</v>
      </c>
      <c r="E115" s="142" t="s">
        <v>93</v>
      </c>
      <c r="F115" s="142" t="s">
        <v>94</v>
      </c>
      <c r="G115" s="142" t="s">
        <v>95</v>
      </c>
    </row>
    <row r="116" spans="2:11">
      <c r="B116" s="88" t="s">
        <v>204</v>
      </c>
      <c r="C116" s="363" t="s">
        <v>115</v>
      </c>
      <c r="D116" s="166">
        <v>0.09</v>
      </c>
      <c r="E116" s="166">
        <v>0.09</v>
      </c>
      <c r="F116" s="303">
        <v>0.09</v>
      </c>
      <c r="G116" s="305">
        <f>INDEX(D116:F116,$E$6)</f>
        <v>0.09</v>
      </c>
      <c r="I116" s="405" t="s">
        <v>205</v>
      </c>
      <c r="J116" s="419"/>
      <c r="K116" s="420"/>
    </row>
    <row r="117" spans="2:11">
      <c r="B117" s="88" t="s">
        <v>206</v>
      </c>
      <c r="C117" s="363" t="s">
        <v>115</v>
      </c>
      <c r="D117" s="166">
        <v>0.05</v>
      </c>
      <c r="E117" s="166">
        <v>0.05</v>
      </c>
      <c r="F117" s="303">
        <v>0.05</v>
      </c>
      <c r="G117" s="305">
        <f>INDEX(D117:F117,$E$6)</f>
        <v>0.05</v>
      </c>
      <c r="I117" s="405" t="s">
        <v>207</v>
      </c>
      <c r="J117" s="419"/>
      <c r="K117" s="420"/>
    </row>
    <row r="118" spans="2:11">
      <c r="B118" s="88" t="s">
        <v>208</v>
      </c>
      <c r="C118" s="363" t="s">
        <v>54</v>
      </c>
      <c r="D118" s="168" t="s">
        <v>58</v>
      </c>
      <c r="E118" s="168" t="s">
        <v>58</v>
      </c>
      <c r="F118" s="308" t="s">
        <v>58</v>
      </c>
      <c r="G118" s="309" t="str">
        <f>INDEX(D118:F118,$E$6)</f>
        <v>Yes</v>
      </c>
      <c r="I118" s="405" t="s">
        <v>209</v>
      </c>
      <c r="J118" s="419"/>
      <c r="K118" s="420"/>
    </row>
    <row r="120" spans="2:11">
      <c r="B120" s="360" t="s">
        <v>210</v>
      </c>
      <c r="C120" s="140"/>
      <c r="D120" s="140"/>
      <c r="E120" s="140"/>
      <c r="F120" s="140"/>
      <c r="G120" s="295"/>
      <c r="H120" s="140"/>
      <c r="I120" s="140"/>
      <c r="J120" s="140"/>
      <c r="K120" s="140"/>
    </row>
    <row r="121" spans="2:11">
      <c r="B121" s="141" t="s">
        <v>92</v>
      </c>
      <c r="C121" s="142" t="s">
        <v>26</v>
      </c>
      <c r="D121" s="142" t="s">
        <v>34</v>
      </c>
      <c r="E121" s="142" t="s">
        <v>93</v>
      </c>
      <c r="F121" s="142" t="s">
        <v>94</v>
      </c>
      <c r="G121" s="142" t="s">
        <v>95</v>
      </c>
    </row>
    <row r="122" spans="2:11">
      <c r="B122" s="88" t="s">
        <v>211</v>
      </c>
      <c r="C122" s="363" t="s">
        <v>115</v>
      </c>
      <c r="D122" s="166">
        <v>0.3</v>
      </c>
      <c r="E122" s="166">
        <v>0.2</v>
      </c>
      <c r="F122" s="303">
        <v>0.4</v>
      </c>
      <c r="G122" s="305">
        <f t="shared" ref="G122:G129" si="4">INDEX(D122:F122,$E$6)</f>
        <v>0.3</v>
      </c>
      <c r="I122" s="405" t="s">
        <v>212</v>
      </c>
      <c r="J122" s="419"/>
      <c r="K122" s="420"/>
    </row>
    <row r="123" spans="2:11">
      <c r="B123" s="88" t="s">
        <v>213</v>
      </c>
      <c r="C123" s="363" t="s">
        <v>115</v>
      </c>
      <c r="D123" s="166">
        <v>0.5</v>
      </c>
      <c r="E123" s="166">
        <v>0.5</v>
      </c>
      <c r="F123" s="303">
        <v>0.5</v>
      </c>
      <c r="G123" s="305">
        <f t="shared" si="4"/>
        <v>0.5</v>
      </c>
      <c r="I123" s="405" t="s">
        <v>214</v>
      </c>
      <c r="J123" s="419"/>
      <c r="K123" s="420"/>
    </row>
    <row r="124" spans="2:11">
      <c r="B124" s="88" t="s">
        <v>215</v>
      </c>
      <c r="C124" s="363" t="s">
        <v>115</v>
      </c>
      <c r="D124" s="167">
        <v>0.06</v>
      </c>
      <c r="E124" s="167">
        <v>7.4999999999999997E-2</v>
      </c>
      <c r="F124" s="306">
        <v>0.05</v>
      </c>
      <c r="G124" s="307">
        <f t="shared" si="4"/>
        <v>0.06</v>
      </c>
      <c r="I124" s="405" t="s">
        <v>216</v>
      </c>
      <c r="J124" s="419"/>
      <c r="K124" s="420"/>
    </row>
    <row r="125" spans="2:11">
      <c r="B125" s="88" t="s">
        <v>217</v>
      </c>
      <c r="C125" s="363" t="s">
        <v>44</v>
      </c>
      <c r="D125" s="164">
        <v>15</v>
      </c>
      <c r="E125" s="164">
        <v>15</v>
      </c>
      <c r="F125" s="299">
        <v>15</v>
      </c>
      <c r="G125" s="300">
        <f t="shared" si="4"/>
        <v>15</v>
      </c>
      <c r="I125" s="405" t="s">
        <v>218</v>
      </c>
      <c r="J125" s="419"/>
      <c r="K125" s="420"/>
    </row>
    <row r="126" spans="2:11">
      <c r="B126" s="88" t="s">
        <v>219</v>
      </c>
      <c r="C126" s="363" t="s">
        <v>220</v>
      </c>
      <c r="D126" s="167">
        <v>0.01</v>
      </c>
      <c r="E126" s="167">
        <v>0.01</v>
      </c>
      <c r="F126" s="306">
        <v>0.01</v>
      </c>
      <c r="G126" s="307">
        <f t="shared" si="4"/>
        <v>0.01</v>
      </c>
      <c r="I126" s="405" t="s">
        <v>221</v>
      </c>
      <c r="J126" s="419"/>
      <c r="K126" s="420"/>
    </row>
    <row r="127" spans="2:11">
      <c r="B127" s="88" t="s">
        <v>222</v>
      </c>
      <c r="C127" s="363" t="s">
        <v>33</v>
      </c>
      <c r="D127" s="168" t="s">
        <v>223</v>
      </c>
      <c r="E127" s="168" t="s">
        <v>223</v>
      </c>
      <c r="F127" s="308" t="s">
        <v>223</v>
      </c>
      <c r="G127" s="309" t="str">
        <f t="shared" si="4"/>
        <v>Equal debt service (annuity)</v>
      </c>
      <c r="I127" s="405" t="s">
        <v>224</v>
      </c>
      <c r="J127" s="419"/>
      <c r="K127" s="420"/>
    </row>
    <row r="128" spans="2:11">
      <c r="B128" s="88" t="s">
        <v>225</v>
      </c>
      <c r="C128" s="363" t="s">
        <v>226</v>
      </c>
      <c r="D128" s="169">
        <v>1.3</v>
      </c>
      <c r="E128" s="169">
        <v>1.3</v>
      </c>
      <c r="F128" s="310">
        <v>1.3</v>
      </c>
      <c r="G128" s="311">
        <f t="shared" si="4"/>
        <v>1.3</v>
      </c>
      <c r="I128" s="405" t="s">
        <v>227</v>
      </c>
      <c r="J128" s="419"/>
      <c r="K128" s="420"/>
    </row>
    <row r="129" spans="2:11">
      <c r="B129" s="88" t="s">
        <v>228</v>
      </c>
      <c r="C129" s="363" t="s">
        <v>33</v>
      </c>
      <c r="D129" s="168" t="s">
        <v>229</v>
      </c>
      <c r="E129" s="168" t="s">
        <v>229</v>
      </c>
      <c r="F129" s="308" t="s">
        <v>229</v>
      </c>
      <c r="G129" s="309" t="str">
        <f t="shared" si="4"/>
        <v>EUR</v>
      </c>
      <c r="I129" s="405" t="s">
        <v>230</v>
      </c>
      <c r="J129" s="419"/>
      <c r="K129" s="420"/>
    </row>
    <row r="131" spans="2:11">
      <c r="B131" s="360" t="s">
        <v>231</v>
      </c>
      <c r="C131" s="140"/>
      <c r="D131" s="140"/>
      <c r="E131" s="140"/>
      <c r="F131" s="140"/>
      <c r="G131" s="295"/>
      <c r="H131" s="140"/>
      <c r="I131" s="140"/>
      <c r="J131" s="140"/>
      <c r="K131" s="140"/>
    </row>
    <row r="132" spans="2:11">
      <c r="B132" s="141" t="s">
        <v>92</v>
      </c>
      <c r="C132" s="142" t="s">
        <v>26</v>
      </c>
      <c r="D132" s="142" t="s">
        <v>34</v>
      </c>
      <c r="E132" s="142" t="s">
        <v>93</v>
      </c>
      <c r="F132" s="142" t="s">
        <v>94</v>
      </c>
      <c r="G132" s="142" t="s">
        <v>95</v>
      </c>
    </row>
    <row r="133" spans="2:11">
      <c r="B133" s="88" t="s">
        <v>232</v>
      </c>
      <c r="C133" s="363" t="s">
        <v>115</v>
      </c>
      <c r="D133" s="167">
        <v>0.02</v>
      </c>
      <c r="E133" s="167">
        <v>0.02</v>
      </c>
      <c r="F133" s="306">
        <v>0.02</v>
      </c>
      <c r="G133" s="307">
        <f t="shared" ref="G133:G141" si="5">INDEX(D133:F133,$E$6)</f>
        <v>0.02</v>
      </c>
      <c r="I133" s="405" t="s">
        <v>233</v>
      </c>
      <c r="J133" s="419"/>
      <c r="K133" s="420"/>
    </row>
    <row r="134" spans="2:11">
      <c r="B134" s="88" t="s">
        <v>234</v>
      </c>
      <c r="C134" s="363" t="s">
        <v>201</v>
      </c>
      <c r="D134" s="167">
        <v>0.03</v>
      </c>
      <c r="E134" s="167">
        <v>0.04</v>
      </c>
      <c r="F134" s="306">
        <v>0.02</v>
      </c>
      <c r="G134" s="307">
        <f t="shared" si="5"/>
        <v>0.03</v>
      </c>
      <c r="I134" s="405" t="s">
        <v>235</v>
      </c>
      <c r="J134" s="419"/>
      <c r="K134" s="420"/>
    </row>
    <row r="135" spans="2:11">
      <c r="B135" s="88" t="s">
        <v>236</v>
      </c>
      <c r="C135" s="363" t="s">
        <v>201</v>
      </c>
      <c r="D135" s="167">
        <v>0.02</v>
      </c>
      <c r="E135" s="167">
        <v>0.03</v>
      </c>
      <c r="F135" s="306">
        <v>1.4999999999999999E-2</v>
      </c>
      <c r="G135" s="307">
        <f t="shared" si="5"/>
        <v>0.02</v>
      </c>
      <c r="I135" s="405" t="s">
        <v>237</v>
      </c>
      <c r="J135" s="419"/>
      <c r="K135" s="420"/>
    </row>
    <row r="136" spans="2:11">
      <c r="B136" s="88" t="s">
        <v>238</v>
      </c>
      <c r="C136" s="363" t="s">
        <v>115</v>
      </c>
      <c r="D136" s="167">
        <v>0.03</v>
      </c>
      <c r="E136" s="167">
        <v>0.03</v>
      </c>
      <c r="F136" s="306">
        <v>0.03</v>
      </c>
      <c r="G136" s="307">
        <f t="shared" si="5"/>
        <v>0.03</v>
      </c>
      <c r="I136" s="176" t="s">
        <v>239</v>
      </c>
    </row>
    <row r="137" spans="2:11">
      <c r="B137" s="88" t="s">
        <v>240</v>
      </c>
      <c r="C137" s="363" t="s">
        <v>115</v>
      </c>
      <c r="D137" s="167">
        <v>5.5E-2</v>
      </c>
      <c r="E137" s="167">
        <v>5.5E-2</v>
      </c>
      <c r="F137" s="306">
        <v>5.5E-2</v>
      </c>
      <c r="G137" s="307">
        <f t="shared" si="5"/>
        <v>5.5E-2</v>
      </c>
      <c r="I137" s="176" t="s">
        <v>241</v>
      </c>
    </row>
    <row r="138" spans="2:11">
      <c r="B138" s="88" t="s">
        <v>242</v>
      </c>
      <c r="C138" s="363" t="s">
        <v>226</v>
      </c>
      <c r="D138" s="169">
        <v>0.55000000000000004</v>
      </c>
      <c r="E138" s="169">
        <v>0.55000000000000004</v>
      </c>
      <c r="F138" s="310">
        <v>0.55000000000000004</v>
      </c>
      <c r="G138" s="311">
        <f t="shared" si="5"/>
        <v>0.55000000000000004</v>
      </c>
      <c r="I138" s="405" t="s">
        <v>243</v>
      </c>
      <c r="J138" s="419"/>
      <c r="K138" s="420"/>
    </row>
    <row r="139" spans="2:11">
      <c r="B139" s="88" t="s">
        <v>244</v>
      </c>
      <c r="C139" s="363" t="s">
        <v>115</v>
      </c>
      <c r="D139" s="167">
        <v>0.02</v>
      </c>
      <c r="E139" s="167">
        <v>2.5000000000000001E-2</v>
      </c>
      <c r="F139" s="306">
        <v>1.4999999999999999E-2</v>
      </c>
      <c r="G139" s="307">
        <f t="shared" si="5"/>
        <v>0.02</v>
      </c>
      <c r="I139" s="405" t="s">
        <v>245</v>
      </c>
      <c r="J139" s="419"/>
      <c r="K139" s="420"/>
    </row>
    <row r="140" spans="2:11">
      <c r="B140" s="88" t="s">
        <v>246</v>
      </c>
      <c r="C140" s="363" t="s">
        <v>201</v>
      </c>
      <c r="D140" s="167">
        <v>5.0000000000000001E-3</v>
      </c>
      <c r="E140" s="167">
        <v>7.0000000000000001E-3</v>
      </c>
      <c r="F140" s="306">
        <v>3.0000000000000001E-3</v>
      </c>
      <c r="G140" s="307">
        <f t="shared" si="5"/>
        <v>5.0000000000000001E-3</v>
      </c>
      <c r="I140" s="406" t="s">
        <v>247</v>
      </c>
      <c r="J140" s="406"/>
      <c r="K140" s="412"/>
    </row>
    <row r="141" spans="2:11">
      <c r="B141" s="88" t="s">
        <v>248</v>
      </c>
      <c r="C141" s="363" t="s">
        <v>201</v>
      </c>
      <c r="D141" s="167">
        <v>2E-3</v>
      </c>
      <c r="E141" s="167">
        <v>3.0000000000000001E-3</v>
      </c>
      <c r="F141" s="306">
        <v>1E-3</v>
      </c>
      <c r="G141" s="307">
        <f t="shared" si="5"/>
        <v>2E-3</v>
      </c>
      <c r="I141" s="413" t="s">
        <v>249</v>
      </c>
      <c r="J141" s="413"/>
      <c r="K141" s="414"/>
    </row>
    <row r="143" spans="2:11">
      <c r="B143" s="360" t="s">
        <v>250</v>
      </c>
      <c r="C143" s="140"/>
      <c r="D143" s="140"/>
      <c r="E143" s="140"/>
      <c r="F143" s="140"/>
      <c r="G143" s="295"/>
      <c r="H143" s="140"/>
      <c r="I143" s="140"/>
      <c r="J143" s="140"/>
      <c r="K143" s="140"/>
    </row>
    <row r="144" spans="2:11">
      <c r="B144" s="141" t="s">
        <v>92</v>
      </c>
      <c r="C144" s="142" t="s">
        <v>26</v>
      </c>
      <c r="D144" s="142" t="s">
        <v>34</v>
      </c>
      <c r="E144" s="142" t="s">
        <v>93</v>
      </c>
      <c r="F144" s="142" t="s">
        <v>94</v>
      </c>
      <c r="G144" s="142" t="s">
        <v>95</v>
      </c>
    </row>
    <row r="145" spans="2:11">
      <c r="B145" s="88" t="s">
        <v>251</v>
      </c>
      <c r="C145" s="363" t="s">
        <v>54</v>
      </c>
      <c r="D145" s="168" t="s">
        <v>55</v>
      </c>
      <c r="E145" s="168" t="s">
        <v>55</v>
      </c>
      <c r="F145" s="308" t="s">
        <v>55</v>
      </c>
      <c r="G145" s="309" t="str">
        <f t="shared" ref="G145:G150" si="6">INDEX(D145:F145,$E$6)</f>
        <v>No</v>
      </c>
      <c r="I145" s="406" t="s">
        <v>252</v>
      </c>
      <c r="J145" s="406"/>
      <c r="K145" s="412"/>
    </row>
    <row r="146" spans="2:11">
      <c r="B146" s="88" t="s">
        <v>253</v>
      </c>
      <c r="C146" s="363" t="s">
        <v>112</v>
      </c>
      <c r="D146" s="163">
        <v>500</v>
      </c>
      <c r="E146" s="163">
        <v>500</v>
      </c>
      <c r="F146" s="302">
        <v>500</v>
      </c>
      <c r="G146" s="280">
        <f t="shared" si="6"/>
        <v>500</v>
      </c>
      <c r="I146" s="406" t="s">
        <v>254</v>
      </c>
      <c r="J146" s="406"/>
      <c r="K146" s="412"/>
    </row>
    <row r="147" spans="2:11">
      <c r="B147" s="88" t="s">
        <v>255</v>
      </c>
      <c r="C147" s="363" t="s">
        <v>71</v>
      </c>
      <c r="D147" s="163">
        <v>800</v>
      </c>
      <c r="E147" s="163">
        <v>800</v>
      </c>
      <c r="F147" s="302">
        <v>800</v>
      </c>
      <c r="G147" s="280">
        <f t="shared" si="6"/>
        <v>800</v>
      </c>
      <c r="I147" s="406" t="s">
        <v>256</v>
      </c>
      <c r="J147" s="406"/>
      <c r="K147" s="412"/>
    </row>
    <row r="148" spans="2:11">
      <c r="B148" s="88" t="s">
        <v>257</v>
      </c>
      <c r="C148" s="363" t="s">
        <v>226</v>
      </c>
      <c r="D148" s="169">
        <v>0.55000000000000004</v>
      </c>
      <c r="E148" s="169">
        <v>0.55000000000000004</v>
      </c>
      <c r="F148" s="310">
        <v>0.55000000000000004</v>
      </c>
      <c r="G148" s="311">
        <f t="shared" si="6"/>
        <v>0.55000000000000004</v>
      </c>
      <c r="I148" s="406" t="s">
        <v>258</v>
      </c>
      <c r="J148" s="406"/>
      <c r="K148" s="412"/>
    </row>
    <row r="149" spans="2:11">
      <c r="B149" s="88" t="s">
        <v>259</v>
      </c>
      <c r="C149" s="363" t="s">
        <v>260</v>
      </c>
      <c r="D149" s="163">
        <v>600</v>
      </c>
      <c r="E149" s="163">
        <v>600</v>
      </c>
      <c r="F149" s="302">
        <v>600</v>
      </c>
      <c r="G149" s="280">
        <f t="shared" si="6"/>
        <v>600</v>
      </c>
      <c r="I149" s="176" t="s">
        <v>261</v>
      </c>
    </row>
    <row r="150" spans="2:11">
      <c r="B150" s="88" t="s">
        <v>262</v>
      </c>
      <c r="C150" s="363" t="s">
        <v>112</v>
      </c>
      <c r="D150" s="163">
        <v>500</v>
      </c>
      <c r="E150" s="163">
        <v>500</v>
      </c>
      <c r="F150" s="302">
        <v>500</v>
      </c>
      <c r="G150" s="280">
        <f t="shared" si="6"/>
        <v>500</v>
      </c>
      <c r="I150" s="406" t="s">
        <v>263</v>
      </c>
      <c r="J150" s="406"/>
      <c r="K150" s="412"/>
    </row>
    <row r="152" spans="2:11">
      <c r="B152" s="360" t="s">
        <v>264</v>
      </c>
      <c r="C152" s="140"/>
      <c r="D152" s="140"/>
      <c r="E152" s="140"/>
      <c r="F152" s="140"/>
      <c r="G152" s="295"/>
      <c r="H152" s="140"/>
      <c r="I152" s="140"/>
      <c r="J152" s="140"/>
      <c r="K152" s="140"/>
    </row>
    <row r="153" spans="2:11">
      <c r="B153" s="141" t="s">
        <v>92</v>
      </c>
      <c r="C153" s="142" t="s">
        <v>26</v>
      </c>
      <c r="D153" s="142" t="s">
        <v>34</v>
      </c>
      <c r="E153" s="142" t="s">
        <v>93</v>
      </c>
      <c r="F153" s="142" t="s">
        <v>94</v>
      </c>
      <c r="G153" s="142" t="s">
        <v>95</v>
      </c>
    </row>
    <row r="154" spans="2:11">
      <c r="B154" s="88" t="s">
        <v>265</v>
      </c>
      <c r="C154" s="363" t="s">
        <v>115</v>
      </c>
      <c r="D154" s="170">
        <v>0</v>
      </c>
      <c r="E154" s="170">
        <v>0</v>
      </c>
      <c r="F154" s="312">
        <v>0</v>
      </c>
      <c r="G154" s="313">
        <f>INDEX(D154:F154,$E$6)</f>
        <v>0</v>
      </c>
      <c r="I154" s="406" t="s">
        <v>266</v>
      </c>
      <c r="J154" s="406"/>
      <c r="K154" s="412"/>
    </row>
    <row r="155" spans="2:11">
      <c r="B155" s="88" t="s">
        <v>267</v>
      </c>
      <c r="C155" s="363" t="s">
        <v>115</v>
      </c>
      <c r="D155" s="170">
        <v>0.4</v>
      </c>
      <c r="E155" s="170">
        <v>0.3</v>
      </c>
      <c r="F155" s="312">
        <v>0.5</v>
      </c>
      <c r="G155" s="313">
        <f>INDEX(D155:F155,$E$6)</f>
        <v>0.4</v>
      </c>
      <c r="I155" s="406" t="s">
        <v>268</v>
      </c>
      <c r="J155" s="406"/>
      <c r="K155" s="412"/>
    </row>
    <row r="156" spans="2:11">
      <c r="B156" s="88" t="s">
        <v>269</v>
      </c>
      <c r="C156" s="363" t="s">
        <v>270</v>
      </c>
      <c r="D156" s="163">
        <v>0</v>
      </c>
      <c r="E156" s="163">
        <v>0</v>
      </c>
      <c r="F156" s="302">
        <v>0</v>
      </c>
      <c r="G156" s="280">
        <f>INDEX(D156:F156,$E$6)</f>
        <v>0</v>
      </c>
      <c r="I156" s="406" t="s">
        <v>271</v>
      </c>
      <c r="J156" s="406"/>
      <c r="K156" s="412"/>
    </row>
    <row r="158" spans="2:11">
      <c r="B158" s="360" t="s">
        <v>272</v>
      </c>
      <c r="C158" s="140"/>
      <c r="D158" s="140"/>
      <c r="E158" s="140"/>
      <c r="F158" s="140"/>
      <c r="G158" s="295"/>
      <c r="H158" s="140"/>
      <c r="I158" s="140"/>
      <c r="J158" s="140"/>
      <c r="K158" s="140"/>
    </row>
    <row r="159" spans="2:11">
      <c r="B159" s="141" t="s">
        <v>92</v>
      </c>
      <c r="C159" s="142" t="s">
        <v>26</v>
      </c>
      <c r="D159" s="142" t="s">
        <v>34</v>
      </c>
      <c r="E159" s="142" t="s">
        <v>93</v>
      </c>
      <c r="F159" s="142" t="s">
        <v>94</v>
      </c>
      <c r="G159" s="142" t="s">
        <v>95</v>
      </c>
    </row>
    <row r="160" spans="2:11">
      <c r="B160" s="88" t="s">
        <v>273</v>
      </c>
      <c r="C160" s="363" t="s">
        <v>274</v>
      </c>
      <c r="D160" s="164">
        <v>15</v>
      </c>
      <c r="E160" s="164">
        <v>15</v>
      </c>
      <c r="F160" s="299">
        <v>15</v>
      </c>
      <c r="G160" s="300">
        <f>INDEX(D160:F160,$E$6)</f>
        <v>15</v>
      </c>
      <c r="I160" s="406" t="s">
        <v>275</v>
      </c>
      <c r="J160" s="406"/>
      <c r="K160" s="412"/>
    </row>
    <row r="161" spans="1:11">
      <c r="B161" s="88" t="s">
        <v>276</v>
      </c>
      <c r="C161" s="363" t="s">
        <v>274</v>
      </c>
      <c r="D161" s="164">
        <v>20</v>
      </c>
      <c r="E161" s="164">
        <v>20</v>
      </c>
      <c r="F161" s="299">
        <v>20</v>
      </c>
      <c r="G161" s="300">
        <f>INDEX(D161:F161,$E$6)</f>
        <v>20</v>
      </c>
      <c r="I161" s="406" t="s">
        <v>277</v>
      </c>
      <c r="J161" s="406"/>
      <c r="K161" s="412"/>
    </row>
    <row r="162" spans="1:11">
      <c r="B162" s="88" t="s">
        <v>278</v>
      </c>
      <c r="C162" s="363" t="s">
        <v>274</v>
      </c>
      <c r="D162" s="164">
        <v>25</v>
      </c>
      <c r="E162" s="164">
        <v>25</v>
      </c>
      <c r="F162" s="299">
        <v>25</v>
      </c>
      <c r="G162" s="300">
        <f>INDEX(D162:F162,$E$6)</f>
        <v>25</v>
      </c>
      <c r="I162" s="406" t="s">
        <v>279</v>
      </c>
      <c r="J162" s="406"/>
      <c r="K162" s="412"/>
    </row>
    <row r="163" spans="1:11">
      <c r="B163" s="88" t="s">
        <v>280</v>
      </c>
      <c r="C163" s="363" t="s">
        <v>274</v>
      </c>
      <c r="D163" s="164">
        <v>40</v>
      </c>
      <c r="E163" s="164">
        <v>40</v>
      </c>
      <c r="F163" s="299">
        <v>40</v>
      </c>
      <c r="G163" s="300">
        <f>INDEX(D163:F163,$E$6)</f>
        <v>40</v>
      </c>
      <c r="I163" s="406" t="s">
        <v>281</v>
      </c>
      <c r="J163" s="406"/>
      <c r="K163" s="412"/>
    </row>
    <row r="164" spans="1:11">
      <c r="B164" s="88" t="s">
        <v>282</v>
      </c>
      <c r="C164" s="363" t="s">
        <v>274</v>
      </c>
      <c r="D164" s="164">
        <v>25</v>
      </c>
      <c r="E164" s="164">
        <v>25</v>
      </c>
      <c r="F164" s="299">
        <v>25</v>
      </c>
      <c r="G164" s="300">
        <f>INDEX(D164:F164,$E$6)</f>
        <v>25</v>
      </c>
      <c r="I164" s="406" t="s">
        <v>283</v>
      </c>
      <c r="J164" s="406"/>
      <c r="K164" s="412"/>
    </row>
    <row r="165" spans="1:11">
      <c r="B165" s="88"/>
      <c r="C165" s="363"/>
      <c r="D165" s="256"/>
      <c r="E165" s="256"/>
      <c r="F165" s="256"/>
      <c r="G165" s="296"/>
    </row>
    <row r="166" spans="1:11">
      <c r="B166" s="360" t="s">
        <v>284</v>
      </c>
      <c r="C166" s="360"/>
      <c r="D166" s="360"/>
      <c r="E166" s="360"/>
      <c r="F166" s="360"/>
      <c r="G166" s="360"/>
      <c r="H166" s="360"/>
      <c r="I166" s="360"/>
      <c r="J166" s="360"/>
      <c r="K166" s="360"/>
    </row>
    <row r="167" spans="1:11">
      <c r="B167" s="88"/>
      <c r="C167" s="363"/>
      <c r="D167" s="394"/>
      <c r="E167" s="394"/>
      <c r="F167" s="394"/>
      <c r="G167" s="296"/>
    </row>
    <row r="168" spans="1:11">
      <c r="B168" s="142" t="s">
        <v>92</v>
      </c>
      <c r="C168" s="142" t="s">
        <v>26</v>
      </c>
      <c r="D168" s="142" t="s">
        <v>34</v>
      </c>
      <c r="E168" s="142" t="s">
        <v>93</v>
      </c>
      <c r="F168" s="142" t="s">
        <v>94</v>
      </c>
      <c r="G168" s="296" t="s">
        <v>95</v>
      </c>
    </row>
    <row r="169" spans="1:11">
      <c r="A169" s="1"/>
      <c r="B169" s="1" t="s">
        <v>285</v>
      </c>
      <c r="C169" s="363" t="s">
        <v>71</v>
      </c>
      <c r="D169" s="164">
        <v>14</v>
      </c>
      <c r="E169" s="164"/>
      <c r="F169" s="164"/>
      <c r="G169" s="300">
        <f>INDEX(D169:F169,$E$6)</f>
        <v>14</v>
      </c>
      <c r="I169" s="176" t="s">
        <v>286</v>
      </c>
    </row>
    <row r="170" spans="1:11">
      <c r="A170" s="1"/>
      <c r="B170" s="1" t="s">
        <v>287</v>
      </c>
      <c r="C170" s="363" t="s">
        <v>288</v>
      </c>
      <c r="D170" s="164">
        <v>15</v>
      </c>
      <c r="E170" s="164"/>
      <c r="F170" s="164"/>
      <c r="G170" s="300">
        <f t="shared" ref="G170:G171" si="7">INDEX(D170:F170,$E$6)</f>
        <v>15</v>
      </c>
      <c r="I170" s="176" t="s">
        <v>289</v>
      </c>
    </row>
    <row r="171" spans="1:11">
      <c r="A171" s="1"/>
      <c r="B171" s="1" t="s">
        <v>290</v>
      </c>
      <c r="C171" s="363" t="s">
        <v>291</v>
      </c>
      <c r="D171" s="164"/>
      <c r="E171" s="164"/>
      <c r="F171" s="164"/>
      <c r="G171" s="300">
        <f t="shared" si="7"/>
        <v>0</v>
      </c>
      <c r="I171" s="176" t="s">
        <v>292</v>
      </c>
    </row>
    <row r="172" spans="1:11">
      <c r="B172" s="1" t="s">
        <v>293</v>
      </c>
      <c r="C172" s="363" t="s">
        <v>294</v>
      </c>
      <c r="D172" s="164">
        <v>4</v>
      </c>
      <c r="E172" s="164"/>
      <c r="F172" s="164"/>
      <c r="G172" s="300">
        <f>INDEX(D172:F172,$E$6)</f>
        <v>4</v>
      </c>
    </row>
    <row r="173" spans="1:11">
      <c r="B173" s="360" t="s">
        <v>295</v>
      </c>
      <c r="C173" s="140"/>
      <c r="D173" s="140"/>
      <c r="E173" s="140"/>
      <c r="F173" s="140"/>
      <c r="G173" s="295"/>
      <c r="H173" s="140"/>
      <c r="I173" s="140"/>
      <c r="J173" s="140"/>
      <c r="K173" s="140"/>
    </row>
    <row r="174" spans="1:11">
      <c r="B174" s="141" t="s">
        <v>92</v>
      </c>
      <c r="C174" s="142" t="s">
        <v>26</v>
      </c>
      <c r="D174" s="142" t="s">
        <v>34</v>
      </c>
      <c r="E174" s="142" t="s">
        <v>93</v>
      </c>
      <c r="F174" s="142" t="s">
        <v>94</v>
      </c>
      <c r="G174" s="142" t="s">
        <v>95</v>
      </c>
    </row>
    <row r="175" spans="1:11">
      <c r="B175" s="88" t="s">
        <v>296</v>
      </c>
      <c r="C175" s="363" t="s">
        <v>297</v>
      </c>
      <c r="D175" s="164">
        <v>30</v>
      </c>
      <c r="E175" s="164">
        <v>30</v>
      </c>
      <c r="F175" s="299">
        <v>30</v>
      </c>
      <c r="G175" s="300">
        <f>INDEX(D175:F175,$E$6)</f>
        <v>30</v>
      </c>
      <c r="I175" s="406" t="s">
        <v>298</v>
      </c>
      <c r="J175" s="406"/>
      <c r="K175" s="412"/>
    </row>
    <row r="176" spans="1:11">
      <c r="B176" s="88" t="s">
        <v>299</v>
      </c>
      <c r="C176" s="363" t="s">
        <v>297</v>
      </c>
      <c r="D176" s="164">
        <v>30</v>
      </c>
      <c r="E176" s="164">
        <v>30</v>
      </c>
      <c r="F176" s="299">
        <v>30</v>
      </c>
      <c r="G176" s="300">
        <f>INDEX(D176:F176,$E$6)</f>
        <v>30</v>
      </c>
      <c r="I176" s="406" t="s">
        <v>300</v>
      </c>
      <c r="J176" s="406"/>
      <c r="K176" s="412"/>
    </row>
    <row r="177" spans="2:11">
      <c r="B177" s="88" t="s">
        <v>301</v>
      </c>
      <c r="C177" s="363" t="s">
        <v>201</v>
      </c>
      <c r="D177" s="171">
        <v>0.2</v>
      </c>
      <c r="E177" s="171">
        <v>0.2</v>
      </c>
      <c r="F177" s="314">
        <v>0.2</v>
      </c>
      <c r="G177" s="315">
        <f>INDEX(D177:F177,$E$6)</f>
        <v>0.2</v>
      </c>
      <c r="I177" s="406" t="s">
        <v>302</v>
      </c>
      <c r="J177" s="406"/>
      <c r="K177" s="412"/>
    </row>
    <row r="178" spans="2:11">
      <c r="B178" s="88" t="s">
        <v>303</v>
      </c>
      <c r="C178" s="363" t="s">
        <v>54</v>
      </c>
      <c r="D178" s="168" t="s">
        <v>58</v>
      </c>
      <c r="E178" s="168" t="s">
        <v>58</v>
      </c>
      <c r="F178" s="308" t="s">
        <v>58</v>
      </c>
      <c r="G178" s="309" t="str">
        <f>INDEX(D178:F178,$E$6)</f>
        <v>Yes</v>
      </c>
      <c r="I178" s="406" t="s">
        <v>304</v>
      </c>
      <c r="J178" s="406"/>
      <c r="K178" s="412"/>
    </row>
    <row r="179" spans="2:11">
      <c r="B179" t="s">
        <v>293</v>
      </c>
      <c r="C179" s="363" t="s">
        <v>294</v>
      </c>
      <c r="G179" s="300">
        <v>4</v>
      </c>
    </row>
    <row r="181" spans="2:11">
      <c r="B181" s="360" t="s">
        <v>305</v>
      </c>
      <c r="C181" s="140"/>
      <c r="D181" s="140"/>
      <c r="E181" s="140"/>
      <c r="F181" s="140"/>
      <c r="G181" s="295"/>
      <c r="H181" s="140"/>
      <c r="I181" s="140"/>
      <c r="J181" s="140"/>
      <c r="K181" s="140"/>
    </row>
    <row r="182" spans="2:11">
      <c r="B182" s="88" t="str">
        <f>Inputs!B35</f>
        <v>Source temperature</v>
      </c>
      <c r="C182" s="204">
        <f>Inputs!I35</f>
        <v>38</v>
      </c>
      <c r="D182" s="364"/>
    </row>
    <row r="183" spans="2:11">
      <c r="B183" s="88" t="str">
        <f>Inputs!B41</f>
        <v>Required supply temperature</v>
      </c>
      <c r="C183" s="204">
        <f>Inputs!I41</f>
        <v>55</v>
      </c>
      <c r="D183" s="364"/>
    </row>
    <row r="184" spans="2:11">
      <c r="B184" s="88" t="str">
        <f>Inputs!B40</f>
        <v>Heat exchanger approach loss</v>
      </c>
      <c r="C184" s="204">
        <f>Inputs!I40</f>
        <v>3</v>
      </c>
      <c r="D184" s="364"/>
    </row>
    <row r="185" spans="2:11">
      <c r="B185" s="88" t="s">
        <v>306</v>
      </c>
      <c r="C185" s="204">
        <f>C183-(C182-C184)</f>
        <v>20</v>
      </c>
      <c r="D185" s="364"/>
    </row>
  </sheetData>
  <mergeCells count="83">
    <mergeCell ref="I175:K175"/>
    <mergeCell ref="I176:K176"/>
    <mergeCell ref="I177:K177"/>
    <mergeCell ref="I178:K178"/>
    <mergeCell ref="I160:K160"/>
    <mergeCell ref="I161:K161"/>
    <mergeCell ref="I162:K162"/>
    <mergeCell ref="I163:K163"/>
    <mergeCell ref="I164:K164"/>
    <mergeCell ref="I148:K148"/>
    <mergeCell ref="I150:K150"/>
    <mergeCell ref="I154:K154"/>
    <mergeCell ref="I155:K155"/>
    <mergeCell ref="I156:K156"/>
    <mergeCell ref="I140:K140"/>
    <mergeCell ref="I141:K141"/>
    <mergeCell ref="I145:K145"/>
    <mergeCell ref="I146:K146"/>
    <mergeCell ref="I147:K147"/>
    <mergeCell ref="I126:K126"/>
    <mergeCell ref="I101:K101"/>
    <mergeCell ref="B38:K38"/>
    <mergeCell ref="I100:K100"/>
    <mergeCell ref="I91:K91"/>
    <mergeCell ref="I59:K59"/>
    <mergeCell ref="I60:K60"/>
    <mergeCell ref="I69:K69"/>
    <mergeCell ref="I65:K65"/>
    <mergeCell ref="B39:K39"/>
    <mergeCell ref="I46:K46"/>
    <mergeCell ref="I64:K64"/>
    <mergeCell ref="I78:K78"/>
    <mergeCell ref="I117:K117"/>
    <mergeCell ref="I111:K111"/>
    <mergeCell ref="I118:K118"/>
    <mergeCell ref="I139:K139"/>
    <mergeCell ref="I108:K108"/>
    <mergeCell ref="I90:K90"/>
    <mergeCell ref="I124:K124"/>
    <mergeCell ref="I86:K86"/>
    <mergeCell ref="I133:K133"/>
    <mergeCell ref="I89:K89"/>
    <mergeCell ref="I135:K135"/>
    <mergeCell ref="I129:K129"/>
    <mergeCell ref="I138:K138"/>
    <mergeCell ref="I109:K109"/>
    <mergeCell ref="I99:K99"/>
    <mergeCell ref="I128:K128"/>
    <mergeCell ref="I112:K112"/>
    <mergeCell ref="I122:K122"/>
    <mergeCell ref="I102:K102"/>
    <mergeCell ref="B2:G2"/>
    <mergeCell ref="I97:K97"/>
    <mergeCell ref="I71:K71"/>
    <mergeCell ref="I53:K53"/>
    <mergeCell ref="I96:K96"/>
    <mergeCell ref="I87:K87"/>
    <mergeCell ref="I58:K58"/>
    <mergeCell ref="I92:K92"/>
    <mergeCell ref="I2:K2"/>
    <mergeCell ref="I70:K70"/>
    <mergeCell ref="I107:K107"/>
    <mergeCell ref="I42:K42"/>
    <mergeCell ref="I84:K84"/>
    <mergeCell ref="I74:K74"/>
    <mergeCell ref="I80:K80"/>
    <mergeCell ref="I88:K88"/>
    <mergeCell ref="I116:K116"/>
    <mergeCell ref="I134:K134"/>
    <mergeCell ref="I85:K85"/>
    <mergeCell ref="I47:K47"/>
    <mergeCell ref="I125:K125"/>
    <mergeCell ref="I54:K54"/>
    <mergeCell ref="I103:K103"/>
    <mergeCell ref="I72:K72"/>
    <mergeCell ref="I127:K127"/>
    <mergeCell ref="I98:K98"/>
    <mergeCell ref="I52:K52"/>
    <mergeCell ref="I123:K123"/>
    <mergeCell ref="I110:K110"/>
    <mergeCell ref="I79:K79"/>
    <mergeCell ref="I48:K48"/>
    <mergeCell ref="I73:K73"/>
  </mergeCells>
  <dataValidations count="2">
    <dataValidation type="list" sqref="D16:D18" xr:uid="{00000000-0002-0000-0000-000003000000}">
      <formula1>"Yes,No"</formula1>
    </dataValidation>
    <dataValidation type="list" allowBlank="1" showInputMessage="1" showErrorMessage="1" sqref="D10" xr:uid="{FC190E8B-FF69-48CE-808E-16446E87A7F5}">
      <formula1>CountryList</formula1>
    </dataValidation>
  </dataValidations>
  <pageMargins left="0.75" right="0.75" top="1" bottom="1" header="0.511811023622047" footer="0.511811023622047"/>
  <pageSetup paperSize="9" orientation="portrait" horizontalDpi="300" verticalDpi="300"/>
  <drawing r:id="rId1"/>
  <extLst>
    <ext xmlns:x14="http://schemas.microsoft.com/office/spreadsheetml/2009/9/main" uri="{CCE6A557-97BC-4b89-ADB6-D9C93CAAB3DF}">
      <x14:dataValidations xmlns:xm="http://schemas.microsoft.com/office/excel/2006/main" count="2">
        <x14:dataValidation type="list" xr:uid="{00000000-0002-0000-0000-000000000000}">
          <x14:formula1>
            <xm:f>Parameters!$L$8:$L$10</xm:f>
          </x14:formula1>
          <xm:sqref>D6</xm:sqref>
        </x14:dataValidation>
        <x14:dataValidation type="list" xr:uid="{00000000-0002-0000-0000-000001000000}">
          <x14:formula1>
            <xm:f>Parameters!$D$8:$D$10</xm:f>
          </x14:formula1>
          <xm:sqref>D7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1:N199"/>
  <sheetViews>
    <sheetView showGridLines="0" zoomScale="55" zoomScaleNormal="55" workbookViewId="0">
      <pane xSplit="1" ySplit="9" topLeftCell="B117" activePane="bottomRight" state="frozen"/>
      <selection pane="bottomRight" activeCell="D59" sqref="D59"/>
      <selection pane="bottomLeft" activeCell="A27" sqref="A27"/>
      <selection pane="topRight" activeCell="B1" sqref="B1"/>
    </sheetView>
  </sheetViews>
  <sheetFormatPr defaultColWidth="8.7109375" defaultRowHeight="13.15"/>
  <cols>
    <col min="1" max="1" width="2.85546875" style="1" customWidth="1"/>
    <col min="2" max="2" width="46" style="1" customWidth="1"/>
    <col min="3" max="3" width="11.42578125" style="194" customWidth="1"/>
    <col min="4" max="4" width="22.5703125" style="1" customWidth="1"/>
    <col min="5" max="7" width="21" style="1" customWidth="1"/>
    <col min="8" max="8" width="4.42578125" style="1" customWidth="1"/>
    <col min="9" max="9" width="23" style="1" customWidth="1"/>
    <col min="10" max="10" width="4.42578125" style="1" customWidth="1"/>
    <col min="11" max="11" width="50" style="1" customWidth="1"/>
    <col min="12" max="12" width="36.42578125" style="49" customWidth="1"/>
    <col min="13" max="13" width="16" style="1" customWidth="1"/>
    <col min="14" max="14" width="0.85546875" style="2" customWidth="1"/>
    <col min="15" max="16" width="8.7109375" style="1" customWidth="1"/>
    <col min="17" max="16384" width="8.7109375" style="1"/>
  </cols>
  <sheetData>
    <row r="1" spans="2:14" ht="50.25" customHeight="1">
      <c r="B1" s="4"/>
      <c r="C1" s="193"/>
      <c r="D1" s="4"/>
      <c r="E1" s="415" t="s">
        <v>307</v>
      </c>
      <c r="F1" s="419"/>
      <c r="G1" s="4"/>
      <c r="H1" s="4"/>
      <c r="I1" s="4"/>
      <c r="J1" s="4"/>
      <c r="K1" s="4"/>
      <c r="L1" s="50"/>
      <c r="M1" s="4"/>
      <c r="N1" s="3"/>
    </row>
    <row r="2" spans="2:14" ht="6" customHeight="1"/>
    <row r="3" spans="2:14" ht="6.75" customHeight="1"/>
    <row r="4" spans="2:14" ht="13.5" customHeight="1">
      <c r="B4" s="188" t="s">
        <v>308</v>
      </c>
    </row>
    <row r="5" spans="2:14" ht="13.5" customHeight="1">
      <c r="B5" s="189" t="s">
        <v>36</v>
      </c>
      <c r="C5" s="195" t="s">
        <v>33</v>
      </c>
      <c r="D5" s="51" t="str">
        <f>'Control Panel'!$D$7</f>
        <v>Cascade geothermal</v>
      </c>
    </row>
    <row r="6" spans="2:14" ht="13.5" customHeight="1">
      <c r="B6" s="189" t="s">
        <v>39</v>
      </c>
      <c r="C6" s="195" t="s">
        <v>40</v>
      </c>
      <c r="D6" s="52">
        <f>'Control Panel'!$D$8</f>
        <v>1</v>
      </c>
    </row>
    <row r="7" spans="2:14" ht="13.5" customHeight="1">
      <c r="B7" s="189" t="s">
        <v>309</v>
      </c>
      <c r="C7" s="195" t="s">
        <v>33</v>
      </c>
      <c r="D7" s="51" t="str">
        <f>'Control Panel'!$D$9</f>
        <v>HUF</v>
      </c>
      <c r="E7" s="10"/>
      <c r="F7" s="10"/>
      <c r="G7" s="10"/>
      <c r="I7" s="10" t="s">
        <v>310</v>
      </c>
      <c r="J7" s="7" t="s">
        <v>30</v>
      </c>
    </row>
    <row r="8" spans="2:14" ht="13.5" customHeight="1">
      <c r="B8" s="190" t="s">
        <v>45</v>
      </c>
      <c r="C8" s="195" t="s">
        <v>33</v>
      </c>
      <c r="D8" s="51" t="str">
        <f>'Control Panel'!$D$10</f>
        <v>Hungary</v>
      </c>
      <c r="G8" s="53" t="s">
        <v>311</v>
      </c>
      <c r="I8" s="51" t="str">
        <f>'Control Panel'!$D$6</f>
        <v>Base</v>
      </c>
      <c r="J8" s="54">
        <f>MATCH(I8,Parameters!$L$8:$L$10,0)</f>
        <v>1</v>
      </c>
    </row>
    <row r="9" spans="2:14" ht="13.5" customHeight="1">
      <c r="E9" s="55" t="s">
        <v>312</v>
      </c>
      <c r="F9" s="55" t="s">
        <v>313</v>
      </c>
      <c r="G9" s="55" t="s">
        <v>314</v>
      </c>
    </row>
    <row r="10" spans="2:14" ht="13.5" customHeight="1">
      <c r="B10" s="191" t="s">
        <v>91</v>
      </c>
      <c r="C10" s="193"/>
      <c r="D10" s="4"/>
      <c r="E10" s="4"/>
      <c r="F10" s="4"/>
      <c r="G10" s="4"/>
      <c r="H10" s="4"/>
      <c r="I10" s="4"/>
      <c r="J10" s="4"/>
      <c r="K10" s="4"/>
      <c r="L10" s="50"/>
      <c r="M10" s="4"/>
    </row>
    <row r="11" spans="2:14" ht="13.5" customHeight="1"/>
    <row r="12" spans="2:14" ht="13.5" customHeight="1">
      <c r="C12" s="196" t="s">
        <v>26</v>
      </c>
      <c r="D12" s="18" t="s">
        <v>315</v>
      </c>
      <c r="E12" s="18" t="s">
        <v>34</v>
      </c>
      <c r="F12" s="18" t="s">
        <v>93</v>
      </c>
      <c r="G12" s="18" t="s">
        <v>94</v>
      </c>
      <c r="I12" s="18" t="s">
        <v>27</v>
      </c>
      <c r="K12" s="24" t="s">
        <v>316</v>
      </c>
      <c r="L12" s="56" t="s">
        <v>317</v>
      </c>
      <c r="M12" s="18" t="s">
        <v>318</v>
      </c>
    </row>
    <row r="13" spans="2:14" ht="13.5" customHeight="1"/>
    <row r="14" spans="2:14" ht="13.5" customHeight="1">
      <c r="B14" s="25" t="s">
        <v>319</v>
      </c>
      <c r="C14" s="195" t="s">
        <v>171</v>
      </c>
      <c r="D14" s="7" t="s">
        <v>320</v>
      </c>
      <c r="E14" s="57"/>
      <c r="F14" s="57"/>
      <c r="G14" s="57"/>
      <c r="I14" s="51" t="str">
        <f>$D$5</f>
        <v>Cascade geothermal</v>
      </c>
      <c r="K14" s="13"/>
      <c r="L14" s="58"/>
      <c r="M14" s="54" t="s">
        <v>321</v>
      </c>
    </row>
    <row r="15" spans="2:14" ht="13.5" customHeight="1">
      <c r="B15" s="25" t="s">
        <v>322</v>
      </c>
      <c r="C15" s="195" t="s">
        <v>40</v>
      </c>
      <c r="D15" s="7" t="s">
        <v>320</v>
      </c>
      <c r="E15" s="9"/>
      <c r="F15" s="9"/>
      <c r="G15" s="9"/>
      <c r="I15" s="59">
        <f>$D$6</f>
        <v>1</v>
      </c>
      <c r="K15" s="13"/>
      <c r="M15" s="54" t="s">
        <v>323</v>
      </c>
    </row>
    <row r="16" spans="2:14" ht="13.5" customHeight="1">
      <c r="B16" s="25" t="s">
        <v>42</v>
      </c>
      <c r="C16" s="195" t="s">
        <v>171</v>
      </c>
      <c r="D16" s="7" t="s">
        <v>320</v>
      </c>
      <c r="E16" s="57"/>
      <c r="F16" s="57"/>
      <c r="G16" s="57"/>
      <c r="I16" s="51" t="str">
        <f>$D$7</f>
        <v>HUF</v>
      </c>
      <c r="K16" s="13"/>
      <c r="L16" s="58"/>
      <c r="M16" s="54" t="s">
        <v>321</v>
      </c>
    </row>
    <row r="17" spans="2:13" ht="13.5" customHeight="1">
      <c r="B17" s="25" t="s">
        <v>324</v>
      </c>
      <c r="C17" s="195" t="s">
        <v>171</v>
      </c>
      <c r="D17" s="7" t="s">
        <v>325</v>
      </c>
      <c r="I17" s="51" t="str">
        <f>D8</f>
        <v>Hungary</v>
      </c>
      <c r="K17" s="13" t="s">
        <v>326</v>
      </c>
      <c r="L17" s="58" t="s">
        <v>327</v>
      </c>
      <c r="M17" s="54" t="s">
        <v>328</v>
      </c>
    </row>
    <row r="18" spans="2:13" ht="13.5" customHeight="1">
      <c r="B18" s="25" t="s">
        <v>96</v>
      </c>
      <c r="C18" s="195" t="s">
        <v>97</v>
      </c>
      <c r="D18" s="7" t="s">
        <v>325</v>
      </c>
      <c r="E18" s="48">
        <f>'Control Panel'!D42</f>
        <v>10000</v>
      </c>
      <c r="F18" s="48">
        <f>'Control Panel'!E42</f>
        <v>10000</v>
      </c>
      <c r="G18" s="48">
        <f>'Control Panel'!F42</f>
        <v>10000</v>
      </c>
      <c r="I18" s="60">
        <f>INDEX(E18:G18,$J$8)</f>
        <v>10000</v>
      </c>
      <c r="K18" s="23" t="s">
        <v>98</v>
      </c>
      <c r="L18" s="58" t="s">
        <v>329</v>
      </c>
      <c r="M18" s="54" t="s">
        <v>321</v>
      </c>
    </row>
    <row r="19" spans="2:13" ht="13.5" customHeight="1">
      <c r="B19" s="1" t="s">
        <v>330</v>
      </c>
      <c r="C19" s="195" t="s">
        <v>54</v>
      </c>
      <c r="D19" s="7" t="s">
        <v>325</v>
      </c>
      <c r="E19" s="51" t="str">
        <f>'Control Panel'!$D$16</f>
        <v>No</v>
      </c>
      <c r="F19" s="51" t="str">
        <f>'Control Panel'!$D$16</f>
        <v>No</v>
      </c>
      <c r="G19" s="51" t="str">
        <f>'Control Panel'!$D$16</f>
        <v>No</v>
      </c>
      <c r="I19" s="44" t="str">
        <f>INDEX(E19:G19,$J$8)</f>
        <v>No</v>
      </c>
      <c r="K19" s="23" t="s">
        <v>331</v>
      </c>
      <c r="L19" s="58" t="s">
        <v>329</v>
      </c>
      <c r="M19" s="54" t="s">
        <v>321</v>
      </c>
    </row>
    <row r="20" spans="2:13" ht="13.5" customHeight="1">
      <c r="B20" s="25" t="s">
        <v>332</v>
      </c>
      <c r="C20" s="195" t="s">
        <v>54</v>
      </c>
      <c r="D20" s="7" t="s">
        <v>325</v>
      </c>
      <c r="E20" s="51" t="str">
        <f>'Control Panel'!$D$17</f>
        <v>Yes</v>
      </c>
      <c r="F20" s="51" t="str">
        <f>'Control Panel'!$D$17</f>
        <v>Yes</v>
      </c>
      <c r="G20" s="51" t="str">
        <f>'Control Panel'!$D$17</f>
        <v>Yes</v>
      </c>
      <c r="I20" s="44" t="str">
        <f>INDEX(E20:G20,$J$8)</f>
        <v>Yes</v>
      </c>
      <c r="K20" s="23" t="s">
        <v>333</v>
      </c>
      <c r="L20" s="58" t="s">
        <v>329</v>
      </c>
      <c r="M20" s="54" t="s">
        <v>321</v>
      </c>
    </row>
    <row r="21" spans="2:13" ht="13.5" customHeight="1"/>
    <row r="22" spans="2:13" ht="13.5" customHeight="1">
      <c r="B22" s="191" t="s">
        <v>99</v>
      </c>
      <c r="C22" s="193"/>
      <c r="D22" s="4"/>
      <c r="E22" s="4"/>
      <c r="F22" s="4"/>
      <c r="G22" s="4"/>
      <c r="H22" s="4"/>
      <c r="I22" s="4"/>
      <c r="J22" s="4"/>
      <c r="K22" s="4"/>
      <c r="L22" s="50"/>
      <c r="M22" s="4"/>
    </row>
    <row r="23" spans="2:13" ht="13.5" customHeight="1"/>
    <row r="24" spans="2:13" ht="13.5" customHeight="1">
      <c r="B24" s="24" t="s">
        <v>334</v>
      </c>
      <c r="C24" s="196" t="s">
        <v>26</v>
      </c>
      <c r="D24" s="18" t="s">
        <v>315</v>
      </c>
      <c r="E24" s="18" t="s">
        <v>34</v>
      </c>
      <c r="F24" s="18" t="s">
        <v>93</v>
      </c>
      <c r="G24" s="18" t="s">
        <v>94</v>
      </c>
      <c r="I24" s="18" t="s">
        <v>27</v>
      </c>
      <c r="K24" s="24"/>
      <c r="L24" s="56" t="s">
        <v>317</v>
      </c>
      <c r="M24" s="18" t="s">
        <v>318</v>
      </c>
    </row>
    <row r="25" spans="2:13" ht="13.5" customHeight="1"/>
    <row r="26" spans="2:13" ht="13.5" customHeight="1">
      <c r="B26" s="25" t="s">
        <v>100</v>
      </c>
      <c r="C26" s="195" t="s">
        <v>101</v>
      </c>
      <c r="D26" s="7" t="s">
        <v>325</v>
      </c>
      <c r="E26" s="61">
        <f>'Control Panel'!D46</f>
        <v>2027</v>
      </c>
      <c r="F26" s="61">
        <f>'Control Panel'!E46</f>
        <v>2027</v>
      </c>
      <c r="G26" s="61">
        <f>'Control Panel'!F46</f>
        <v>2027</v>
      </c>
      <c r="I26" s="62">
        <f>INDEX(E26:G26,$J$8)</f>
        <v>2027</v>
      </c>
      <c r="K26" s="23" t="s">
        <v>102</v>
      </c>
      <c r="L26" s="58" t="s">
        <v>327</v>
      </c>
      <c r="M26" s="54" t="s">
        <v>321</v>
      </c>
    </row>
    <row r="27" spans="2:13" ht="13.5" customHeight="1">
      <c r="B27" s="25" t="s">
        <v>103</v>
      </c>
      <c r="C27" s="195" t="s">
        <v>44</v>
      </c>
      <c r="D27" s="7" t="s">
        <v>325</v>
      </c>
      <c r="E27" s="61">
        <f>'Control Panel'!D47</f>
        <v>2</v>
      </c>
      <c r="F27" s="61">
        <f>'Control Panel'!E47</f>
        <v>2</v>
      </c>
      <c r="G27" s="61">
        <f>'Control Panel'!F47</f>
        <v>2</v>
      </c>
      <c r="I27" s="62">
        <f>INDEX(E27:G27,$J$8)</f>
        <v>2</v>
      </c>
      <c r="K27" s="23" t="s">
        <v>104</v>
      </c>
      <c r="L27" s="58" t="s">
        <v>327</v>
      </c>
      <c r="M27" s="54" t="s">
        <v>321</v>
      </c>
    </row>
    <row r="28" spans="2:13" ht="13.5" customHeight="1">
      <c r="B28" s="25" t="s">
        <v>105</v>
      </c>
      <c r="C28" s="195" t="s">
        <v>44</v>
      </c>
      <c r="D28" s="7" t="s">
        <v>325</v>
      </c>
      <c r="E28" s="63">
        <f>'Control Panel'!D48</f>
        <v>20</v>
      </c>
      <c r="F28" s="63">
        <f>'Control Panel'!E48</f>
        <v>20</v>
      </c>
      <c r="G28" s="63">
        <f>'Control Panel'!F48</f>
        <v>20</v>
      </c>
      <c r="I28" s="62">
        <f>INDEX(E28:G28,$J$8)</f>
        <v>20</v>
      </c>
      <c r="K28" s="23" t="s">
        <v>106</v>
      </c>
      <c r="L28" s="58" t="s">
        <v>327</v>
      </c>
      <c r="M28" s="54" t="s">
        <v>328</v>
      </c>
    </row>
    <row r="29" spans="2:13" ht="13.5" customHeight="1"/>
    <row r="30" spans="2:13" ht="13.5" customHeight="1">
      <c r="B30" s="14" t="s">
        <v>107</v>
      </c>
      <c r="C30" s="193"/>
      <c r="D30" s="4"/>
      <c r="E30" s="4"/>
      <c r="F30" s="4"/>
      <c r="G30" s="4"/>
      <c r="H30" s="4"/>
      <c r="I30" s="4"/>
      <c r="J30" s="4"/>
      <c r="K30" s="4"/>
      <c r="L30" s="50"/>
      <c r="M30" s="4"/>
    </row>
    <row r="31" spans="2:13" ht="13.5" customHeight="1"/>
    <row r="32" spans="2:13" ht="13.5" customHeight="1">
      <c r="B32" s="24" t="s">
        <v>334</v>
      </c>
      <c r="C32" s="196" t="s">
        <v>26</v>
      </c>
      <c r="D32" s="18" t="s">
        <v>315</v>
      </c>
      <c r="E32" s="18" t="s">
        <v>34</v>
      </c>
      <c r="F32" s="18" t="s">
        <v>93</v>
      </c>
      <c r="G32" s="18" t="s">
        <v>94</v>
      </c>
      <c r="I32" s="18" t="s">
        <v>27</v>
      </c>
      <c r="K32" s="18" t="s">
        <v>335</v>
      </c>
      <c r="L32" s="56" t="s">
        <v>317</v>
      </c>
      <c r="M32" s="18" t="s">
        <v>318</v>
      </c>
    </row>
    <row r="33" spans="2:13" ht="13.5" customHeight="1"/>
    <row r="34" spans="2:13" ht="13.5" customHeight="1">
      <c r="B34" s="192"/>
    </row>
    <row r="35" spans="2:13" ht="13.5" customHeight="1">
      <c r="B35" s="25" t="s">
        <v>336</v>
      </c>
      <c r="C35" s="195" t="s">
        <v>109</v>
      </c>
      <c r="D35" s="7" t="s">
        <v>320</v>
      </c>
      <c r="I35" s="64">
        <f>INDEX(Parameters!$E$20:$G$20,$D$6)</f>
        <v>38</v>
      </c>
      <c r="K35" s="23" t="s">
        <v>337</v>
      </c>
      <c r="L35" s="58" t="s">
        <v>338</v>
      </c>
      <c r="M35" s="65" t="s">
        <v>339</v>
      </c>
    </row>
    <row r="36" spans="2:13" ht="13.5" customHeight="1">
      <c r="B36" s="25" t="s">
        <v>340</v>
      </c>
      <c r="C36" s="195" t="s">
        <v>341</v>
      </c>
      <c r="D36" s="7" t="s">
        <v>320</v>
      </c>
      <c r="I36" s="64">
        <f>INDEX(Parameters!$E$21:$G$21,$D$6)</f>
        <v>43</v>
      </c>
      <c r="K36" s="23" t="s">
        <v>342</v>
      </c>
      <c r="L36" s="58" t="s">
        <v>338</v>
      </c>
      <c r="M36" s="65" t="s">
        <v>343</v>
      </c>
    </row>
    <row r="37" spans="2:13" ht="13.5" customHeight="1">
      <c r="B37" s="25" t="s">
        <v>344</v>
      </c>
      <c r="C37" s="195" t="s">
        <v>109</v>
      </c>
      <c r="D37" s="7" t="s">
        <v>320</v>
      </c>
      <c r="I37" s="64">
        <f>INDEX(Parameters!$E$22:$G$22,$D$6)</f>
        <v>30</v>
      </c>
      <c r="K37" s="23" t="s">
        <v>345</v>
      </c>
      <c r="L37" s="58" t="s">
        <v>338</v>
      </c>
      <c r="M37" s="65" t="s">
        <v>339</v>
      </c>
    </row>
    <row r="38" spans="2:13" ht="13.5" customHeight="1">
      <c r="B38" s="25" t="s">
        <v>346</v>
      </c>
      <c r="C38" s="195" t="s">
        <v>115</v>
      </c>
      <c r="D38" s="7" t="s">
        <v>320</v>
      </c>
      <c r="I38" s="66">
        <f>INDEX(Parameters!$E$23:$G$23,$D$6)</f>
        <v>0.95</v>
      </c>
      <c r="K38" s="23" t="s">
        <v>347</v>
      </c>
      <c r="L38" s="58" t="s">
        <v>338</v>
      </c>
      <c r="M38" s="65" t="s">
        <v>348</v>
      </c>
    </row>
    <row r="39" spans="2:13" ht="13.5" customHeight="1">
      <c r="B39" s="25" t="s">
        <v>349</v>
      </c>
      <c r="C39" s="195" t="str">
        <f>$D$7&amp;"/kW_th"</f>
        <v>HUF/kW_th</v>
      </c>
      <c r="D39" s="7" t="s">
        <v>320</v>
      </c>
      <c r="I39" s="67">
        <f>INDEX(Parameters!$E$24:$G$24,$D$6)</f>
        <v>60</v>
      </c>
      <c r="K39" s="23" t="s">
        <v>350</v>
      </c>
      <c r="L39" s="58" t="s">
        <v>338</v>
      </c>
      <c r="M39" s="65" t="s">
        <v>348</v>
      </c>
    </row>
    <row r="40" spans="2:13" ht="13.5" customHeight="1">
      <c r="B40" s="25" t="s">
        <v>351</v>
      </c>
      <c r="C40" s="195" t="s">
        <v>109</v>
      </c>
      <c r="D40" s="7" t="s">
        <v>320</v>
      </c>
      <c r="I40" s="64">
        <f>INDEX(Parameters!$E$25:$G$25,$D$6)</f>
        <v>3</v>
      </c>
      <c r="K40" s="23" t="s">
        <v>352</v>
      </c>
      <c r="L40" s="58" t="s">
        <v>338</v>
      </c>
      <c r="M40" s="65" t="s">
        <v>348</v>
      </c>
    </row>
    <row r="41" spans="2:13" ht="13.5" customHeight="1">
      <c r="B41" s="25" t="s">
        <v>108</v>
      </c>
      <c r="C41" s="195" t="s">
        <v>109</v>
      </c>
      <c r="D41" s="7" t="s">
        <v>353</v>
      </c>
      <c r="E41" s="68">
        <f>'Control Panel'!D52</f>
        <v>55</v>
      </c>
      <c r="F41" s="68">
        <f>'Control Panel'!E52</f>
        <v>60</v>
      </c>
      <c r="G41" s="68">
        <f>'Control Panel'!F52</f>
        <v>50</v>
      </c>
      <c r="I41" s="69">
        <f>INDEX(E41:G41,$J$8)</f>
        <v>55</v>
      </c>
      <c r="K41" s="23" t="s">
        <v>110</v>
      </c>
      <c r="L41" s="58"/>
      <c r="M41" s="54" t="s">
        <v>321</v>
      </c>
    </row>
    <row r="42" spans="2:13" ht="13.5" customHeight="1">
      <c r="B42" s="25" t="s">
        <v>111</v>
      </c>
      <c r="C42" s="195" t="s">
        <v>112</v>
      </c>
      <c r="D42" s="7" t="s">
        <v>325</v>
      </c>
      <c r="E42" s="48">
        <f>'Control Panel'!D53</f>
        <v>800</v>
      </c>
      <c r="F42" s="48">
        <f>'Control Panel'!E53</f>
        <v>800</v>
      </c>
      <c r="G42" s="48">
        <f>'Control Panel'!F53</f>
        <v>800</v>
      </c>
      <c r="I42" s="60">
        <f>INDEX(E42:G42,$J$8)</f>
        <v>800</v>
      </c>
      <c r="K42" s="23" t="s">
        <v>113</v>
      </c>
      <c r="L42" s="58"/>
      <c r="M42" s="54" t="s">
        <v>321</v>
      </c>
    </row>
    <row r="43" spans="2:13" ht="13.5" customHeight="1">
      <c r="B43" s="25" t="s">
        <v>114</v>
      </c>
      <c r="C43" s="195" t="s">
        <v>115</v>
      </c>
      <c r="D43" s="7" t="s">
        <v>353</v>
      </c>
      <c r="E43" s="43">
        <f>'Control Panel'!D54</f>
        <v>0.9</v>
      </c>
      <c r="F43" s="43">
        <f>'Control Panel'!E54</f>
        <v>0.85</v>
      </c>
      <c r="G43" s="43">
        <f>'Control Panel'!F54</f>
        <v>0.95</v>
      </c>
      <c r="I43" s="70">
        <f>INDEX(E43:G43,$J$8)</f>
        <v>0.9</v>
      </c>
      <c r="K43" s="23" t="s">
        <v>116</v>
      </c>
      <c r="L43" s="58"/>
      <c r="M43" s="54" t="s">
        <v>328</v>
      </c>
    </row>
    <row r="44" spans="2:13" ht="13.5" customHeight="1">
      <c r="B44" s="25" t="s">
        <v>354</v>
      </c>
      <c r="C44" s="195" t="s">
        <v>112</v>
      </c>
      <c r="D44" s="7" t="s">
        <v>320</v>
      </c>
      <c r="E44" s="45">
        <f>IFERROR($I$36*1.163*($I$35-$I$37),"TBC")</f>
        <v>400.072</v>
      </c>
      <c r="F44" s="45">
        <f>IFERROR($I$36*1.163*($I$35-$I$37),"TBC")</f>
        <v>400.072</v>
      </c>
      <c r="G44" s="45">
        <f>IFERROR($I$36*1.163*($I$35-$I$37),"TBC")</f>
        <v>400.072</v>
      </c>
      <c r="I44" s="60">
        <f>INDEX(E44:G44,$J$8)</f>
        <v>400.072</v>
      </c>
      <c r="K44" s="23" t="s">
        <v>355</v>
      </c>
      <c r="M44" s="54" t="s">
        <v>323</v>
      </c>
    </row>
    <row r="45" spans="2:13" ht="13.5" customHeight="1">
      <c r="B45" s="25" t="s">
        <v>356</v>
      </c>
      <c r="C45" s="195" t="s">
        <v>71</v>
      </c>
      <c r="D45" s="7" t="s">
        <v>320</v>
      </c>
      <c r="E45" s="45">
        <f>IFERROR(E44*8760*$I$38/1000,"TBC")</f>
        <v>3329.3991839999999</v>
      </c>
      <c r="F45" s="45">
        <f>IFERROR(F44*8760*$I$38/1000,"TBC")</f>
        <v>3329.3991839999999</v>
      </c>
      <c r="G45" s="45">
        <f>IFERROR(G44*8760*$I$38/1000,"TBC")</f>
        <v>3329.3991839999999</v>
      </c>
      <c r="I45" s="60">
        <f>INDEX(E45:G45,$J$8)</f>
        <v>3329.3991839999999</v>
      </c>
      <c r="K45" s="23" t="s">
        <v>357</v>
      </c>
      <c r="M45" s="54" t="s">
        <v>323</v>
      </c>
    </row>
    <row r="46" spans="2:13" ht="13.5" customHeight="1">
      <c r="C46" s="197"/>
    </row>
    <row r="47" spans="2:13" ht="13.5" customHeight="1">
      <c r="B47" s="16" t="s">
        <v>117</v>
      </c>
      <c r="C47" s="198"/>
      <c r="D47" s="40"/>
      <c r="E47" s="40"/>
      <c r="F47" s="40"/>
      <c r="G47" s="40"/>
      <c r="H47" s="40"/>
      <c r="I47" s="40"/>
      <c r="J47" s="40"/>
      <c r="K47" s="40"/>
      <c r="L47" s="40"/>
      <c r="M47" s="40"/>
    </row>
    <row r="48" spans="2:13" ht="13.5" customHeight="1">
      <c r="B48" s="25" t="s">
        <v>118</v>
      </c>
      <c r="C48" s="195" t="s">
        <v>115</v>
      </c>
      <c r="D48" s="7" t="s">
        <v>353</v>
      </c>
      <c r="E48" s="43">
        <f>'Control Panel'!D58</f>
        <v>0.5</v>
      </c>
      <c r="F48" s="43">
        <f>'Control Panel'!E58</f>
        <v>0.45</v>
      </c>
      <c r="G48" s="43">
        <f>'Control Panel'!F58</f>
        <v>0.55000000000000004</v>
      </c>
      <c r="I48" s="70">
        <f>INDEX(E48:G48,$J$8)</f>
        <v>0.5</v>
      </c>
      <c r="K48" s="23" t="s">
        <v>119</v>
      </c>
      <c r="L48" s="71" t="s">
        <v>358</v>
      </c>
      <c r="M48" s="72" t="s">
        <v>359</v>
      </c>
    </row>
    <row r="49" spans="2:13" ht="13.5" customHeight="1">
      <c r="B49" s="25" t="s">
        <v>120</v>
      </c>
      <c r="C49" s="195" t="s">
        <v>55</v>
      </c>
      <c r="D49" s="7" t="s">
        <v>325</v>
      </c>
      <c r="E49" s="61">
        <f>'Control Panel'!D59</f>
        <v>1</v>
      </c>
      <c r="F49" s="61">
        <f>'Control Panel'!E59</f>
        <v>1</v>
      </c>
      <c r="G49" s="61">
        <f>'Control Panel'!F59</f>
        <v>1</v>
      </c>
      <c r="I49" s="62">
        <f>INDEX(E49:G49,$J$8)</f>
        <v>1</v>
      </c>
      <c r="K49" s="23" t="s">
        <v>121</v>
      </c>
      <c r="L49" s="58"/>
      <c r="M49" s="54" t="s">
        <v>321</v>
      </c>
    </row>
    <row r="50" spans="2:13" ht="13.5" customHeight="1">
      <c r="B50" s="25" t="s">
        <v>122</v>
      </c>
      <c r="C50" s="195" t="str">
        <f>$D$7&amp;"/kW_th"</f>
        <v>HUF/kW_th</v>
      </c>
      <c r="D50" s="7" t="s">
        <v>353</v>
      </c>
      <c r="E50" s="48">
        <f>'Control Panel'!D60</f>
        <v>350</v>
      </c>
      <c r="F50" s="48">
        <f>'Control Panel'!E60</f>
        <v>400</v>
      </c>
      <c r="G50" s="48">
        <f>'Control Panel'!F60</f>
        <v>300</v>
      </c>
      <c r="I50" s="60">
        <f>INDEX(E50:G50,$J$8)</f>
        <v>350</v>
      </c>
      <c r="K50" s="23" t="s">
        <v>123</v>
      </c>
      <c r="L50" s="71" t="s">
        <v>360</v>
      </c>
      <c r="M50" s="72" t="s">
        <v>359</v>
      </c>
    </row>
    <row r="51" spans="2:13" ht="13.5" customHeight="1">
      <c r="B51" s="25" t="s">
        <v>361</v>
      </c>
      <c r="C51" s="195" t="s">
        <v>226</v>
      </c>
      <c r="D51" s="7" t="s">
        <v>320</v>
      </c>
      <c r="E51" s="73">
        <f>IFERROR(IF(($I$35-$I$40)&gt;=E41,"Direct use",E48*(E41+273.15)/((E41)-($I$35-$I$40))),"TBC")</f>
        <v>8.2037499999999994</v>
      </c>
      <c r="F51" s="73">
        <f>IFERROR(IF(($I$35-$I$40)&gt;=F41,"Direct use",F48*(F41+273.15)/((F41)-($I$35-$I$40))),"TBC")</f>
        <v>5.9966999999999997</v>
      </c>
      <c r="G51" s="73">
        <f>IFERROR(IF(($I$35-$I$40)&gt;=G41,"Direct use",G48*(G41+273.15)/((G41)-($I$35-$I$40))),"TBC")</f>
        <v>11.848833333333335</v>
      </c>
      <c r="I51" s="69">
        <f>INDEX(E51:G51,$J$8)</f>
        <v>8.2037499999999994</v>
      </c>
      <c r="K51" s="23" t="s">
        <v>362</v>
      </c>
      <c r="L51" s="49" t="s">
        <v>320</v>
      </c>
      <c r="M51" s="54" t="s">
        <v>323</v>
      </c>
    </row>
    <row r="52" spans="2:13" ht="13.5" customHeight="1">
      <c r="B52" s="25" t="s">
        <v>363</v>
      </c>
      <c r="C52" s="195" t="s">
        <v>112</v>
      </c>
      <c r="D52" s="7" t="s">
        <v>320</v>
      </c>
      <c r="E52" s="45">
        <f>IFERROR(E42*E43,"TBC")</f>
        <v>720</v>
      </c>
      <c r="F52" s="45">
        <f>IFERROR(F42*F43,"TBC")</f>
        <v>680</v>
      </c>
      <c r="G52" s="45">
        <f>IFERROR(G42*G43,"TBC")</f>
        <v>760</v>
      </c>
      <c r="I52" s="60">
        <f>INDEX(E52:G52,$J$8)</f>
        <v>720</v>
      </c>
      <c r="K52" s="23" t="s">
        <v>364</v>
      </c>
      <c r="L52" s="49" t="s">
        <v>320</v>
      </c>
      <c r="M52" s="54" t="s">
        <v>323</v>
      </c>
    </row>
    <row r="53" spans="2:13" ht="13.5" customHeight="1">
      <c r="C53" s="197"/>
    </row>
    <row r="54" spans="2:13" ht="13.5" customHeight="1">
      <c r="B54" s="16" t="s">
        <v>124</v>
      </c>
      <c r="C54" s="198"/>
      <c r="D54" s="40"/>
      <c r="E54" s="40"/>
      <c r="F54" s="40"/>
      <c r="G54" s="40"/>
      <c r="H54" s="40"/>
      <c r="I54" s="40"/>
      <c r="J54" s="40"/>
      <c r="K54" s="40"/>
      <c r="L54" s="40"/>
      <c r="M54" s="40"/>
    </row>
    <row r="55" spans="2:13" ht="13.5" customHeight="1">
      <c r="B55" s="25" t="s">
        <v>125</v>
      </c>
      <c r="C55" s="195" t="s">
        <v>55</v>
      </c>
      <c r="D55" s="7" t="s">
        <v>325</v>
      </c>
      <c r="E55" s="61">
        <f>'Control Panel'!D64</f>
        <v>1</v>
      </c>
      <c r="F55" s="61">
        <f>'Control Panel'!E64</f>
        <v>1</v>
      </c>
      <c r="G55" s="61">
        <f>'Control Panel'!F64</f>
        <v>1</v>
      </c>
      <c r="I55" s="62">
        <f>INDEX(E55:G55,$J$8)</f>
        <v>1</v>
      </c>
      <c r="K55" s="23" t="s">
        <v>126</v>
      </c>
      <c r="L55" s="58"/>
      <c r="M55" s="54" t="s">
        <v>321</v>
      </c>
    </row>
    <row r="56" spans="2:13" ht="13.5" customHeight="1">
      <c r="B56" s="25" t="s">
        <v>365</v>
      </c>
      <c r="C56" s="195" t="s">
        <v>54</v>
      </c>
      <c r="D56" s="7" t="s">
        <v>325</v>
      </c>
      <c r="E56" s="51" t="str">
        <f>'Control Panel'!$D$18</f>
        <v>No</v>
      </c>
      <c r="F56" s="51" t="str">
        <f>'Control Panel'!$D$18</f>
        <v>No</v>
      </c>
      <c r="G56" s="51" t="str">
        <f>'Control Panel'!$D$18</f>
        <v>No</v>
      </c>
      <c r="I56" s="44" t="str">
        <f>INDEX(E56:G56,$J$8)</f>
        <v>No</v>
      </c>
      <c r="K56" s="23" t="s">
        <v>128</v>
      </c>
      <c r="L56" s="58"/>
      <c r="M56" s="54" t="s">
        <v>321</v>
      </c>
    </row>
    <row r="57" spans="2:13" ht="13.5" customHeight="1">
      <c r="B57" s="25" t="s">
        <v>127</v>
      </c>
      <c r="C57" s="195" t="str">
        <f>$D$7&amp;"/kW_th"</f>
        <v>HUF/kW_th</v>
      </c>
      <c r="D57" s="7" t="s">
        <v>353</v>
      </c>
      <c r="E57" s="48">
        <f>'Control Panel'!D65</f>
        <v>80</v>
      </c>
      <c r="F57" s="48">
        <f>'Control Panel'!E65</f>
        <v>90</v>
      </c>
      <c r="G57" s="48">
        <f>'Control Panel'!F65</f>
        <v>70</v>
      </c>
      <c r="I57" s="60">
        <f>INDEX(E57:G57,$J$8)</f>
        <v>80</v>
      </c>
      <c r="K57" s="23" t="s">
        <v>366</v>
      </c>
      <c r="L57" s="71" t="s">
        <v>367</v>
      </c>
      <c r="M57" s="72" t="s">
        <v>359</v>
      </c>
    </row>
    <row r="58" spans="2:13" ht="13.5" customHeight="1">
      <c r="C58" s="197"/>
    </row>
    <row r="59" spans="2:13" ht="13.5" customHeight="1">
      <c r="B59" s="16" t="s">
        <v>129</v>
      </c>
      <c r="C59" s="198"/>
      <c r="D59" s="40"/>
      <c r="E59" s="40"/>
      <c r="F59" s="40"/>
      <c r="G59" s="40"/>
      <c r="H59" s="40"/>
      <c r="I59" s="40"/>
      <c r="J59" s="40"/>
      <c r="K59" s="40"/>
      <c r="L59" s="40"/>
      <c r="M59" s="40"/>
    </row>
    <row r="60" spans="2:13" ht="13.5" customHeight="1">
      <c r="B60" s="25" t="s">
        <v>368</v>
      </c>
      <c r="C60" s="195" t="s">
        <v>369</v>
      </c>
      <c r="D60" s="7" t="s">
        <v>325</v>
      </c>
      <c r="E60" s="48">
        <f>MIN(E52,E42)*E193</f>
        <v>2880</v>
      </c>
      <c r="F60" s="48">
        <f>MIN(F52,F42)*F193</f>
        <v>0</v>
      </c>
      <c r="G60" s="48">
        <f>MIN(G52,G42)*G193</f>
        <v>0</v>
      </c>
      <c r="I60" s="60">
        <f t="shared" ref="I60:I65" si="0">INDEX(E60:G60,$J$8)</f>
        <v>2880</v>
      </c>
      <c r="K60" s="23" t="s">
        <v>370</v>
      </c>
      <c r="L60" s="58"/>
      <c r="M60" s="54" t="s">
        <v>321</v>
      </c>
    </row>
    <row r="61" spans="2:13" ht="13.5" customHeight="1">
      <c r="B61" s="25" t="s">
        <v>371</v>
      </c>
      <c r="C61" s="195" t="s">
        <v>112</v>
      </c>
      <c r="D61" s="7" t="s">
        <v>325</v>
      </c>
      <c r="E61" s="48">
        <f>MIN(E52,E42)</f>
        <v>720</v>
      </c>
      <c r="F61" s="48">
        <f>MIN(F52,F42)</f>
        <v>680</v>
      </c>
      <c r="G61" s="48">
        <f>MIN(G52,G42)</f>
        <v>760</v>
      </c>
      <c r="I61" s="60">
        <f t="shared" si="0"/>
        <v>720</v>
      </c>
      <c r="K61" s="23" t="s">
        <v>372</v>
      </c>
      <c r="L61" s="58"/>
      <c r="M61" s="54" t="s">
        <v>321</v>
      </c>
    </row>
    <row r="62" spans="2:13" ht="13.5" customHeight="1">
      <c r="B62" s="25" t="s">
        <v>130</v>
      </c>
      <c r="C62" s="195" t="str">
        <f>$D$7&amp;"/kWh_th"</f>
        <v>HUF/kWh_th</v>
      </c>
      <c r="D62" s="7" t="s">
        <v>353</v>
      </c>
      <c r="E62" s="48">
        <f>'Control Panel'!D71</f>
        <v>50</v>
      </c>
      <c r="F62" s="48">
        <f>'Control Panel'!E71</f>
        <v>50</v>
      </c>
      <c r="G62" s="48">
        <f>'Control Panel'!F71</f>
        <v>50</v>
      </c>
      <c r="I62" s="60">
        <f t="shared" si="0"/>
        <v>50</v>
      </c>
      <c r="K62" s="23" t="s">
        <v>131</v>
      </c>
      <c r="L62" s="58" t="s">
        <v>373</v>
      </c>
      <c r="M62" s="54" t="s">
        <v>328</v>
      </c>
    </row>
    <row r="63" spans="2:13" ht="13.5" customHeight="1">
      <c r="B63" s="25" t="s">
        <v>132</v>
      </c>
      <c r="C63" s="195" t="s">
        <v>115</v>
      </c>
      <c r="D63" s="7" t="s">
        <v>353</v>
      </c>
      <c r="E63" s="43">
        <f>'Control Panel'!D72</f>
        <v>0.9</v>
      </c>
      <c r="F63" s="43">
        <f>'Control Panel'!E72</f>
        <v>0.85</v>
      </c>
      <c r="G63" s="43">
        <f>'Control Panel'!F72</f>
        <v>0.92</v>
      </c>
      <c r="I63" s="70">
        <f t="shared" si="0"/>
        <v>0.9</v>
      </c>
      <c r="K63" s="23" t="s">
        <v>133</v>
      </c>
      <c r="L63" s="71" t="s">
        <v>374</v>
      </c>
      <c r="M63" s="72" t="s">
        <v>359</v>
      </c>
    </row>
    <row r="64" spans="2:13" ht="13.5" customHeight="1">
      <c r="B64" s="25" t="s">
        <v>134</v>
      </c>
      <c r="C64" s="195" t="s">
        <v>135</v>
      </c>
      <c r="D64" s="7" t="s">
        <v>325</v>
      </c>
      <c r="E64" s="74">
        <f>'Control Panel'!D73</f>
        <v>1.4999999999999999E-2</v>
      </c>
      <c r="F64" s="74">
        <f>'Control Panel'!E73</f>
        <v>1.4999999999999999E-2</v>
      </c>
      <c r="G64" s="74">
        <f>'Control Panel'!F73</f>
        <v>1.4999999999999999E-2</v>
      </c>
      <c r="I64" s="75">
        <f t="shared" si="0"/>
        <v>1.4999999999999999E-2</v>
      </c>
      <c r="K64" s="23" t="s">
        <v>136</v>
      </c>
      <c r="L64" s="58" t="s">
        <v>373</v>
      </c>
      <c r="M64" s="54" t="s">
        <v>328</v>
      </c>
    </row>
    <row r="65" spans="2:13" ht="13.5" customHeight="1">
      <c r="B65" s="25" t="s">
        <v>137</v>
      </c>
      <c r="C65" s="195" t="s">
        <v>55</v>
      </c>
      <c r="D65" s="7" t="s">
        <v>325</v>
      </c>
      <c r="E65" s="48">
        <f>'Control Panel'!D74</f>
        <v>300</v>
      </c>
      <c r="F65" s="48">
        <f>'Control Panel'!E74</f>
        <v>300</v>
      </c>
      <c r="G65" s="48">
        <f>'Control Panel'!F74</f>
        <v>300</v>
      </c>
      <c r="I65" s="60">
        <f t="shared" si="0"/>
        <v>300</v>
      </c>
      <c r="K65" s="23" t="s">
        <v>138</v>
      </c>
      <c r="L65" s="58"/>
      <c r="M65" s="54" t="s">
        <v>321</v>
      </c>
    </row>
    <row r="66" spans="2:13" ht="13.5" customHeight="1">
      <c r="C66" s="197"/>
    </row>
    <row r="67" spans="2:13" ht="13.5" customHeight="1">
      <c r="B67" s="16" t="s">
        <v>139</v>
      </c>
      <c r="C67" s="198"/>
      <c r="D67" s="40"/>
      <c r="E67" s="40"/>
      <c r="F67" s="40"/>
      <c r="G67" s="40"/>
      <c r="H67" s="40"/>
      <c r="I67" s="40"/>
      <c r="J67" s="40"/>
      <c r="K67" s="40"/>
      <c r="L67" s="40"/>
      <c r="M67" s="40"/>
    </row>
    <row r="68" spans="2:13" ht="13.5" customHeight="1">
      <c r="B68" s="25" t="s">
        <v>140</v>
      </c>
      <c r="C68" s="195" t="s">
        <v>141</v>
      </c>
      <c r="D68" s="7" t="s">
        <v>325</v>
      </c>
      <c r="E68" s="48">
        <f>'Control Panel'!D78</f>
        <v>100</v>
      </c>
      <c r="F68" s="48">
        <f>'Control Panel'!E78</f>
        <v>0</v>
      </c>
      <c r="G68" s="48">
        <f>'Control Panel'!F78</f>
        <v>0</v>
      </c>
      <c r="I68" s="60">
        <f>INDEX(E68:G68,$J$8)</f>
        <v>100</v>
      </c>
      <c r="K68" s="23" t="s">
        <v>375</v>
      </c>
      <c r="L68" s="58"/>
      <c r="M68" s="54" t="s">
        <v>321</v>
      </c>
    </row>
    <row r="69" spans="2:13" ht="13.5" customHeight="1">
      <c r="B69" s="25" t="s">
        <v>143</v>
      </c>
      <c r="C69" s="195" t="str">
        <f>$D$7&amp;"/kWp"</f>
        <v>HUF/kWp</v>
      </c>
      <c r="D69" s="7" t="s">
        <v>325</v>
      </c>
      <c r="E69" s="48">
        <f>'Control Panel'!D79</f>
        <v>800</v>
      </c>
      <c r="F69" s="48">
        <f>'Control Panel'!E79</f>
        <v>800</v>
      </c>
      <c r="G69" s="48">
        <f>'Control Panel'!F79</f>
        <v>800</v>
      </c>
      <c r="I69" s="60">
        <f>INDEX(E69:G69,$J$8)</f>
        <v>800</v>
      </c>
      <c r="K69" s="23" t="s">
        <v>144</v>
      </c>
      <c r="L69" s="58"/>
      <c r="M69" s="54" t="s">
        <v>328</v>
      </c>
    </row>
    <row r="70" spans="2:13" ht="13.5" customHeight="1">
      <c r="B70" s="25" t="s">
        <v>145</v>
      </c>
      <c r="C70" s="195" t="s">
        <v>146</v>
      </c>
      <c r="D70" s="7" t="s">
        <v>325</v>
      </c>
      <c r="E70" s="48">
        <f>'Control Panel'!D80</f>
        <v>1150</v>
      </c>
      <c r="F70" s="48">
        <f>'Control Panel'!E80</f>
        <v>1150</v>
      </c>
      <c r="G70" s="48">
        <f>'Control Panel'!F80</f>
        <v>1150</v>
      </c>
      <c r="I70" s="60">
        <f>INDEX(E70:G70,$J$8)</f>
        <v>1150</v>
      </c>
      <c r="K70" s="23" t="s">
        <v>147</v>
      </c>
      <c r="L70" s="58"/>
      <c r="M70" s="54" t="s">
        <v>328</v>
      </c>
    </row>
    <row r="71" spans="2:13" ht="13.5" customHeight="1">
      <c r="C71" s="197"/>
    </row>
    <row r="72" spans="2:13" ht="13.5" customHeight="1">
      <c r="B72" s="16" t="s">
        <v>148</v>
      </c>
      <c r="C72" s="198"/>
      <c r="D72" s="40"/>
      <c r="E72" s="40"/>
      <c r="F72" s="40"/>
      <c r="G72" s="40"/>
      <c r="H72" s="40"/>
      <c r="I72" s="40"/>
      <c r="J72" s="40"/>
      <c r="K72" s="40"/>
      <c r="L72" s="40"/>
      <c r="M72" s="40"/>
    </row>
    <row r="73" spans="2:13" ht="13.5" customHeight="1">
      <c r="B73" s="25" t="s">
        <v>149</v>
      </c>
      <c r="C73" s="195" t="s">
        <v>150</v>
      </c>
      <c r="D73" s="7" t="s">
        <v>325</v>
      </c>
      <c r="E73" s="48">
        <f>'Control Panel'!D84</f>
        <v>500</v>
      </c>
      <c r="F73" s="48">
        <f>'Control Panel'!E84</f>
        <v>500</v>
      </c>
      <c r="G73" s="48">
        <f>'Control Panel'!F84</f>
        <v>500</v>
      </c>
      <c r="I73" s="60">
        <f t="shared" ref="I73:I82" si="1">INDEX(E73:G73,$J$8)</f>
        <v>500</v>
      </c>
      <c r="K73" s="23" t="s">
        <v>151</v>
      </c>
      <c r="L73" s="58"/>
      <c r="M73" s="54" t="s">
        <v>321</v>
      </c>
    </row>
    <row r="74" spans="2:13" ht="13.5" customHeight="1">
      <c r="B74" s="25" t="s">
        <v>152</v>
      </c>
      <c r="C74" s="195" t="str">
        <f>$D$7&amp;"/yr"</f>
        <v>HUF/yr</v>
      </c>
      <c r="D74" s="7" t="s">
        <v>325</v>
      </c>
      <c r="E74" s="47">
        <f>'Control Panel'!D85</f>
        <v>0</v>
      </c>
      <c r="F74" s="47">
        <f>'Control Panel'!E85</f>
        <v>0</v>
      </c>
      <c r="G74" s="47">
        <f>'Control Panel'!F85</f>
        <v>0</v>
      </c>
      <c r="I74" s="60">
        <f t="shared" si="1"/>
        <v>0</v>
      </c>
      <c r="K74" s="23" t="s">
        <v>153</v>
      </c>
      <c r="L74" s="58"/>
      <c r="M74" s="54" t="s">
        <v>321</v>
      </c>
    </row>
    <row r="75" spans="2:13" ht="13.5" customHeight="1">
      <c r="B75" s="25" t="s">
        <v>154</v>
      </c>
      <c r="C75" s="195" t="str">
        <f>$D$7&amp;"/m"</f>
        <v>HUF/m</v>
      </c>
      <c r="D75" s="7" t="s">
        <v>325</v>
      </c>
      <c r="E75" s="48">
        <f>'Control Panel'!D86</f>
        <v>175</v>
      </c>
      <c r="F75" s="48">
        <f>'Control Panel'!E86</f>
        <v>175</v>
      </c>
      <c r="G75" s="48">
        <f>'Control Panel'!F86</f>
        <v>175</v>
      </c>
      <c r="I75" s="60">
        <f t="shared" si="1"/>
        <v>175</v>
      </c>
      <c r="K75" s="23" t="s">
        <v>155</v>
      </c>
      <c r="L75" s="58" t="s">
        <v>376</v>
      </c>
      <c r="M75" s="54" t="s">
        <v>328</v>
      </c>
    </row>
    <row r="76" spans="2:13" ht="13.5" customHeight="1">
      <c r="B76" s="25" t="s">
        <v>156</v>
      </c>
      <c r="C76" s="195" t="str">
        <f>$D$7&amp;"/m"</f>
        <v>HUF/m</v>
      </c>
      <c r="D76" s="7" t="s">
        <v>325</v>
      </c>
      <c r="E76" s="48">
        <f>'Control Panel'!D87</f>
        <v>50</v>
      </c>
      <c r="F76" s="48">
        <f>'Control Panel'!E87</f>
        <v>50</v>
      </c>
      <c r="G76" s="48">
        <f>'Control Panel'!F87</f>
        <v>50</v>
      </c>
      <c r="I76" s="60">
        <f t="shared" si="1"/>
        <v>50</v>
      </c>
      <c r="K76" s="23" t="s">
        <v>157</v>
      </c>
      <c r="L76" s="58" t="s">
        <v>376</v>
      </c>
      <c r="M76" s="54" t="s">
        <v>328</v>
      </c>
    </row>
    <row r="77" spans="2:13" ht="13.5" customHeight="1">
      <c r="B77" s="25" t="s">
        <v>377</v>
      </c>
      <c r="C77" s="195" t="str">
        <f>$D$7</f>
        <v>HUF</v>
      </c>
      <c r="D77" s="7" t="s">
        <v>320</v>
      </c>
      <c r="E77" s="45">
        <f>IFERROR(E73*(E75+E76),"TBC")</f>
        <v>112500</v>
      </c>
      <c r="F77" s="45">
        <f>IFERROR(F73*(F75+F76),"TBC")</f>
        <v>112500</v>
      </c>
      <c r="G77" s="45">
        <f>IFERROR(G73*(G75+G76),"TBC")</f>
        <v>112500</v>
      </c>
      <c r="I77" s="60">
        <f t="shared" si="1"/>
        <v>112500</v>
      </c>
      <c r="K77" s="23" t="s">
        <v>378</v>
      </c>
      <c r="M77" s="54" t="s">
        <v>323</v>
      </c>
    </row>
    <row r="78" spans="2:13" ht="13.5" customHeight="1">
      <c r="B78" s="25" t="s">
        <v>158</v>
      </c>
      <c r="C78" s="195" t="str">
        <f>$D$7</f>
        <v>HUF</v>
      </c>
      <c r="D78" s="7" t="s">
        <v>353</v>
      </c>
      <c r="E78" s="48">
        <f>'Control Panel'!D88</f>
        <v>40000</v>
      </c>
      <c r="F78" s="48">
        <f>'Control Panel'!E88</f>
        <v>50000</v>
      </c>
      <c r="G78" s="48">
        <f>'Control Panel'!F88</f>
        <v>30000</v>
      </c>
      <c r="I78" s="60">
        <f t="shared" si="1"/>
        <v>40000</v>
      </c>
      <c r="K78" s="23" t="s">
        <v>159</v>
      </c>
      <c r="L78" s="71" t="s">
        <v>379</v>
      </c>
      <c r="M78" s="76" t="s">
        <v>380</v>
      </c>
    </row>
    <row r="79" spans="2:13" ht="13.5" customHeight="1">
      <c r="B79" s="25" t="s">
        <v>160</v>
      </c>
      <c r="C79" s="195" t="str">
        <f>$D$7</f>
        <v>HUF</v>
      </c>
      <c r="D79" s="7" t="s">
        <v>325</v>
      </c>
      <c r="E79" s="48">
        <f>'Control Panel'!D89</f>
        <v>60000</v>
      </c>
      <c r="F79" s="48">
        <f>'Control Panel'!E89</f>
        <v>60000</v>
      </c>
      <c r="G79" s="48">
        <f>'Control Panel'!F89</f>
        <v>60000</v>
      </c>
      <c r="I79" s="60">
        <f t="shared" si="1"/>
        <v>60000</v>
      </c>
      <c r="K79" s="23" t="s">
        <v>161</v>
      </c>
      <c r="L79" s="58"/>
      <c r="M79" s="54" t="s">
        <v>328</v>
      </c>
    </row>
    <row r="80" spans="2:13" ht="13.5" customHeight="1">
      <c r="B80" s="25" t="s">
        <v>162</v>
      </c>
      <c r="C80" s="195" t="str">
        <f>$D$7</f>
        <v>HUF</v>
      </c>
      <c r="D80" s="7" t="s">
        <v>325</v>
      </c>
      <c r="E80" s="48">
        <f>'Control Panel'!D90</f>
        <v>20000</v>
      </c>
      <c r="F80" s="48">
        <f>'Control Panel'!E90</f>
        <v>20000</v>
      </c>
      <c r="G80" s="48">
        <f>'Control Panel'!F90</f>
        <v>20000</v>
      </c>
      <c r="I80" s="60">
        <f t="shared" si="1"/>
        <v>20000</v>
      </c>
      <c r="K80" s="23" t="s">
        <v>163</v>
      </c>
      <c r="L80" s="58"/>
      <c r="M80" s="54" t="s">
        <v>321</v>
      </c>
    </row>
    <row r="81" spans="2:13" ht="13.5" customHeight="1">
      <c r="B81" s="25" t="s">
        <v>164</v>
      </c>
      <c r="C81" s="195" t="s">
        <v>165</v>
      </c>
      <c r="D81" s="7" t="s">
        <v>325</v>
      </c>
      <c r="E81" s="43">
        <f>'Control Panel'!D91</f>
        <v>0.08</v>
      </c>
      <c r="F81" s="43">
        <f>'Control Panel'!E91</f>
        <v>0.08</v>
      </c>
      <c r="G81" s="43">
        <f>'Control Panel'!F91</f>
        <v>0.08</v>
      </c>
      <c r="I81" s="70">
        <f t="shared" si="1"/>
        <v>0.08</v>
      </c>
      <c r="K81" s="23" t="s">
        <v>166</v>
      </c>
      <c r="L81" s="58"/>
      <c r="M81" s="54" t="s">
        <v>328</v>
      </c>
    </row>
    <row r="82" spans="2:13" ht="13.5" customHeight="1">
      <c r="B82" s="25" t="s">
        <v>167</v>
      </c>
      <c r="C82" s="195" t="s">
        <v>165</v>
      </c>
      <c r="D82" s="7" t="s">
        <v>353</v>
      </c>
      <c r="E82" s="43">
        <f>'Control Panel'!D92</f>
        <v>0.1</v>
      </c>
      <c r="F82" s="43">
        <f>'Control Panel'!E92</f>
        <v>0.12</v>
      </c>
      <c r="G82" s="43">
        <f>'Control Panel'!F92</f>
        <v>0.08</v>
      </c>
      <c r="I82" s="70">
        <f t="shared" si="1"/>
        <v>0.1</v>
      </c>
      <c r="K82" s="23" t="s">
        <v>168</v>
      </c>
      <c r="L82" s="58"/>
      <c r="M82" s="54" t="s">
        <v>328</v>
      </c>
    </row>
    <row r="83" spans="2:13" ht="13.5" customHeight="1"/>
    <row r="84" spans="2:13" ht="13.5" customHeight="1">
      <c r="B84" s="191" t="s">
        <v>169</v>
      </c>
      <c r="C84" s="193"/>
      <c r="D84" s="4"/>
      <c r="E84" s="4"/>
      <c r="F84" s="4"/>
      <c r="G84" s="4"/>
      <c r="H84" s="4"/>
      <c r="I84" s="4"/>
      <c r="J84" s="4"/>
      <c r="K84" s="4"/>
      <c r="L84" s="50"/>
      <c r="M84" s="4"/>
    </row>
    <row r="85" spans="2:13" ht="13.5" customHeight="1"/>
    <row r="86" spans="2:13" ht="13.5" customHeight="1">
      <c r="B86" s="24" t="s">
        <v>334</v>
      </c>
      <c r="C86" s="196" t="s">
        <v>26</v>
      </c>
      <c r="D86" s="18" t="s">
        <v>315</v>
      </c>
      <c r="E86" s="18" t="s">
        <v>34</v>
      </c>
      <c r="F86" s="18" t="s">
        <v>93</v>
      </c>
      <c r="G86" s="18" t="s">
        <v>94</v>
      </c>
      <c r="I86" s="18" t="s">
        <v>27</v>
      </c>
      <c r="K86" s="24" t="s">
        <v>316</v>
      </c>
      <c r="L86" s="56" t="s">
        <v>317</v>
      </c>
      <c r="M86" s="18" t="s">
        <v>318</v>
      </c>
    </row>
    <row r="87" spans="2:13" ht="13.5" customHeight="1"/>
    <row r="88" spans="2:13" ht="13.5" customHeight="1">
      <c r="B88" s="25" t="s">
        <v>170</v>
      </c>
      <c r="C88" s="195" t="s">
        <v>171</v>
      </c>
      <c r="D88" s="7" t="s">
        <v>325</v>
      </c>
      <c r="E88" s="20" t="str">
        <f>'Control Panel'!D96</f>
        <v>Gas boiler</v>
      </c>
      <c r="F88" s="20" t="str">
        <f>'Control Panel'!E96</f>
        <v>Gas boiler</v>
      </c>
      <c r="G88" s="20" t="str">
        <f>'Control Panel'!F96</f>
        <v>Gas boiler</v>
      </c>
      <c r="I88" s="44" t="str">
        <f t="shared" ref="I88:I98" si="2">INDEX(E88:G88,$J$8)</f>
        <v>Gas boiler</v>
      </c>
      <c r="K88" s="23" t="s">
        <v>173</v>
      </c>
      <c r="L88" s="58"/>
      <c r="M88" s="54" t="s">
        <v>321</v>
      </c>
    </row>
    <row r="89" spans="2:13" ht="13.5" customHeight="1">
      <c r="B89" s="25" t="s">
        <v>174</v>
      </c>
      <c r="C89" s="195" t="s">
        <v>71</v>
      </c>
      <c r="D89" s="7" t="s">
        <v>325</v>
      </c>
      <c r="E89" s="48">
        <f>'Control Panel'!D97</f>
        <v>2000</v>
      </c>
      <c r="F89" s="48">
        <f>'Control Panel'!E97</f>
        <v>2000</v>
      </c>
      <c r="G89" s="48">
        <f>'Control Panel'!F97</f>
        <v>2000</v>
      </c>
      <c r="I89" s="60">
        <f t="shared" si="2"/>
        <v>2000</v>
      </c>
      <c r="K89" s="23" t="s">
        <v>175</v>
      </c>
      <c r="L89" s="58"/>
      <c r="M89" s="54" t="s">
        <v>321</v>
      </c>
    </row>
    <row r="90" spans="2:13" ht="13.5" customHeight="1">
      <c r="B90" s="25" t="s">
        <v>176</v>
      </c>
      <c r="C90" s="195" t="s">
        <v>115</v>
      </c>
      <c r="D90" s="7" t="s">
        <v>325</v>
      </c>
      <c r="E90" s="43">
        <f>'Control Panel'!D98</f>
        <v>0.9</v>
      </c>
      <c r="F90" s="43">
        <f>'Control Panel'!E98</f>
        <v>0.9</v>
      </c>
      <c r="G90" s="43">
        <f>'Control Panel'!F98</f>
        <v>0.9</v>
      </c>
      <c r="I90" s="70">
        <f t="shared" si="2"/>
        <v>0.9</v>
      </c>
      <c r="K90" s="23" t="s">
        <v>177</v>
      </c>
      <c r="L90" s="58"/>
      <c r="M90" s="54" t="s">
        <v>328</v>
      </c>
    </row>
    <row r="91" spans="2:13" ht="13.5" customHeight="1">
      <c r="B91" s="25" t="s">
        <v>178</v>
      </c>
      <c r="C91" s="195" t="str">
        <f>$D$7&amp;"/MWh"</f>
        <v>HUF/MWh</v>
      </c>
      <c r="D91" s="7" t="s">
        <v>353</v>
      </c>
      <c r="E91" s="48">
        <f>'Control Panel'!D99</f>
        <v>55</v>
      </c>
      <c r="F91" s="48">
        <f>'Control Panel'!E99</f>
        <v>65</v>
      </c>
      <c r="G91" s="48">
        <f>'Control Panel'!F99</f>
        <v>48</v>
      </c>
      <c r="I91" s="60">
        <f t="shared" si="2"/>
        <v>55</v>
      </c>
      <c r="K91" s="23" t="s">
        <v>179</v>
      </c>
      <c r="L91" s="58"/>
      <c r="M91" s="54" t="s">
        <v>321</v>
      </c>
    </row>
    <row r="92" spans="2:13" ht="13.5" customHeight="1">
      <c r="B92" s="25" t="s">
        <v>180</v>
      </c>
      <c r="C92" s="195" t="s">
        <v>115</v>
      </c>
      <c r="D92" s="7" t="s">
        <v>325</v>
      </c>
      <c r="E92" s="43">
        <f>'Control Panel'!D100</f>
        <v>0.05</v>
      </c>
      <c r="F92" s="43">
        <f>'Control Panel'!E100</f>
        <v>0.05</v>
      </c>
      <c r="G92" s="43">
        <f>'Control Panel'!F100</f>
        <v>0.05</v>
      </c>
      <c r="I92" s="70">
        <f t="shared" si="2"/>
        <v>0.05</v>
      </c>
      <c r="K92" s="23" t="s">
        <v>181</v>
      </c>
      <c r="L92" s="58"/>
      <c r="M92" s="54" t="s">
        <v>321</v>
      </c>
    </row>
    <row r="93" spans="2:13" ht="13.5" customHeight="1">
      <c r="B93" s="25" t="s">
        <v>381</v>
      </c>
      <c r="C93" s="195" t="s">
        <v>71</v>
      </c>
      <c r="D93" s="7" t="s">
        <v>320</v>
      </c>
      <c r="E93" s="45">
        <f>IFERROR(E89*(1-E92),"TBC")</f>
        <v>1900</v>
      </c>
      <c r="F93" s="45">
        <f>IFERROR(F89*(1-F92),"TBC")</f>
        <v>1900</v>
      </c>
      <c r="G93" s="45">
        <f>IFERROR(G89*(1-G92),"TBC")</f>
        <v>1900</v>
      </c>
      <c r="I93" s="60">
        <f t="shared" si="2"/>
        <v>1900</v>
      </c>
      <c r="K93" s="23" t="s">
        <v>382</v>
      </c>
      <c r="M93" s="54" t="s">
        <v>323</v>
      </c>
    </row>
    <row r="94" spans="2:13" ht="13.5" customHeight="1">
      <c r="B94" s="25" t="s">
        <v>383</v>
      </c>
      <c r="C94" s="195" t="s">
        <v>71</v>
      </c>
      <c r="D94" s="7" t="s">
        <v>384</v>
      </c>
      <c r="E94" s="45">
        <f>IFERROR(E89/E90,"TBC")</f>
        <v>2222.2222222222222</v>
      </c>
      <c r="F94" s="45">
        <f>IFERROR(F89/F90,"TBC")</f>
        <v>2222.2222222222222</v>
      </c>
      <c r="G94" s="45">
        <f>IFERROR(G89/G90,"TBC")</f>
        <v>2222.2222222222222</v>
      </c>
      <c r="I94" s="60">
        <f t="shared" si="2"/>
        <v>2222.2222222222222</v>
      </c>
      <c r="K94" s="23" t="s">
        <v>385</v>
      </c>
      <c r="M94" s="54" t="s">
        <v>323</v>
      </c>
    </row>
    <row r="95" spans="2:13" ht="13.5" customHeight="1">
      <c r="B95" s="25" t="s">
        <v>386</v>
      </c>
      <c r="C95" s="195" t="str">
        <f>$D$7&amp;"/yr"</f>
        <v>HUF/yr</v>
      </c>
      <c r="D95" s="7" t="s">
        <v>384</v>
      </c>
      <c r="E95" s="45">
        <f>IFERROR(E94*E91,"TBC")</f>
        <v>122222.22222222222</v>
      </c>
      <c r="F95" s="45">
        <f>IFERROR(F94*F91,"TBC")</f>
        <v>144444.44444444444</v>
      </c>
      <c r="G95" s="45">
        <f>IFERROR(G94*G91,"TBC")</f>
        <v>106666.66666666666</v>
      </c>
      <c r="I95" s="60">
        <f t="shared" si="2"/>
        <v>122222.22222222222</v>
      </c>
      <c r="K95" s="23" t="s">
        <v>387</v>
      </c>
      <c r="M95" s="54" t="s">
        <v>323</v>
      </c>
    </row>
    <row r="96" spans="2:13" ht="13.5" customHeight="1">
      <c r="B96" s="25" t="s">
        <v>182</v>
      </c>
      <c r="C96" s="195" t="str">
        <f>$D$7&amp;"/MWh"</f>
        <v>HUF/MWh</v>
      </c>
      <c r="D96" s="7" t="s">
        <v>325</v>
      </c>
      <c r="E96" s="47">
        <f>'Control Panel'!D101</f>
        <v>75</v>
      </c>
      <c r="F96" s="47">
        <f>'Control Panel'!E101</f>
        <v>65</v>
      </c>
      <c r="G96" s="47">
        <f>'Control Panel'!F101</f>
        <v>85</v>
      </c>
      <c r="I96" s="60">
        <f t="shared" si="2"/>
        <v>75</v>
      </c>
      <c r="K96" s="23" t="s">
        <v>183</v>
      </c>
      <c r="L96" s="58" t="s">
        <v>388</v>
      </c>
      <c r="M96" s="54" t="s">
        <v>321</v>
      </c>
    </row>
    <row r="97" spans="2:13" ht="13.5" customHeight="1">
      <c r="B97" s="25" t="s">
        <v>184</v>
      </c>
      <c r="C97" s="195" t="str">
        <f>$D$7&amp;"/MWh"</f>
        <v>HUF/MWh</v>
      </c>
      <c r="D97" s="7" t="s">
        <v>325</v>
      </c>
      <c r="E97" s="47">
        <f>'Control Panel'!D102</f>
        <v>90</v>
      </c>
      <c r="F97" s="47">
        <f>'Control Panel'!E102</f>
        <v>75</v>
      </c>
      <c r="G97" s="47">
        <f>'Control Panel'!F102</f>
        <v>105</v>
      </c>
      <c r="I97" s="60">
        <f t="shared" si="2"/>
        <v>90</v>
      </c>
      <c r="K97" s="23" t="s">
        <v>185</v>
      </c>
      <c r="L97" s="58" t="s">
        <v>388</v>
      </c>
      <c r="M97" s="54" t="s">
        <v>321</v>
      </c>
    </row>
    <row r="98" spans="2:13" ht="13.5" customHeight="1">
      <c r="B98" s="25" t="s">
        <v>186</v>
      </c>
      <c r="C98" s="195" t="str">
        <f>$D$7&amp;"/yr"</f>
        <v>HUF/yr</v>
      </c>
      <c r="D98" s="7" t="s">
        <v>325</v>
      </c>
      <c r="E98" s="47">
        <f>'Control Panel'!D103</f>
        <v>8000</v>
      </c>
      <c r="F98" s="47">
        <f>'Control Panel'!E103</f>
        <v>5000</v>
      </c>
      <c r="G98" s="47">
        <f>'Control Panel'!F103</f>
        <v>12000</v>
      </c>
      <c r="I98" s="60">
        <f t="shared" si="2"/>
        <v>8000</v>
      </c>
      <c r="K98" s="23" t="s">
        <v>187</v>
      </c>
      <c r="L98" s="58"/>
      <c r="M98" s="54" t="s">
        <v>321</v>
      </c>
    </row>
    <row r="99" spans="2:13" ht="13.5" customHeight="1"/>
    <row r="100" spans="2:13" ht="13.5" customHeight="1">
      <c r="B100" s="191" t="s">
        <v>188</v>
      </c>
      <c r="C100" s="193"/>
      <c r="D100" s="4"/>
      <c r="E100" s="4"/>
      <c r="F100" s="4"/>
      <c r="G100" s="4"/>
      <c r="H100" s="4"/>
      <c r="I100" s="4"/>
      <c r="J100" s="4"/>
      <c r="K100" s="4"/>
      <c r="L100" s="50"/>
      <c r="M100" s="4"/>
    </row>
    <row r="101" spans="2:13" ht="13.5" customHeight="1"/>
    <row r="102" spans="2:13" ht="13.5" customHeight="1">
      <c r="B102" s="24" t="s">
        <v>334</v>
      </c>
      <c r="C102" s="196" t="s">
        <v>26</v>
      </c>
      <c r="D102" s="18" t="s">
        <v>315</v>
      </c>
      <c r="E102" s="18" t="s">
        <v>34</v>
      </c>
      <c r="F102" s="18" t="s">
        <v>93</v>
      </c>
      <c r="G102" s="18" t="s">
        <v>94</v>
      </c>
      <c r="I102" s="18" t="s">
        <v>27</v>
      </c>
      <c r="K102" s="24" t="s">
        <v>316</v>
      </c>
      <c r="L102" s="56" t="s">
        <v>317</v>
      </c>
      <c r="M102" s="18" t="s">
        <v>318</v>
      </c>
    </row>
    <row r="103" spans="2:13" ht="13.5" customHeight="1"/>
    <row r="104" spans="2:13" ht="13.5" customHeight="1">
      <c r="B104" s="25" t="s">
        <v>189</v>
      </c>
      <c r="C104" s="195" t="str">
        <f>$D$7&amp;"/MWh"</f>
        <v>HUF/MWh</v>
      </c>
      <c r="D104" s="7" t="s">
        <v>353</v>
      </c>
      <c r="E104" s="48">
        <f>'Control Panel'!D107</f>
        <v>120</v>
      </c>
      <c r="F104" s="48">
        <f>'Control Panel'!E107</f>
        <v>140</v>
      </c>
      <c r="G104" s="48">
        <f>'Control Panel'!F107</f>
        <v>100</v>
      </c>
      <c r="I104" s="60">
        <f>INDEX(E104:G104,$J$8)</f>
        <v>120</v>
      </c>
      <c r="K104" s="23" t="s">
        <v>190</v>
      </c>
      <c r="L104" s="58"/>
      <c r="M104" s="54" t="s">
        <v>321</v>
      </c>
    </row>
    <row r="105" spans="2:13" ht="13.5" customHeight="1">
      <c r="B105" s="25" t="s">
        <v>389</v>
      </c>
      <c r="C105" s="195" t="s">
        <v>390</v>
      </c>
      <c r="D105" s="7" t="s">
        <v>320</v>
      </c>
      <c r="E105" s="73"/>
      <c r="F105" s="73"/>
      <c r="G105" s="73"/>
      <c r="I105" s="77">
        <f>IFERROR(IF(ISNUMBER(I51),1/I51,0),0)</f>
        <v>0.12189547463050435</v>
      </c>
      <c r="K105" s="23" t="s">
        <v>391</v>
      </c>
      <c r="M105" s="54" t="s">
        <v>323</v>
      </c>
    </row>
    <row r="106" spans="2:13" ht="13.5" customHeight="1">
      <c r="B106" s="25" t="s">
        <v>191</v>
      </c>
      <c r="C106" s="195" t="s">
        <v>71</v>
      </c>
      <c r="D106" s="7" t="s">
        <v>325</v>
      </c>
      <c r="E106" s="48">
        <f>'Control Panel'!D108</f>
        <v>50</v>
      </c>
      <c r="F106" s="48">
        <f>'Control Panel'!E108</f>
        <v>50</v>
      </c>
      <c r="G106" s="48">
        <f>'Control Panel'!F108</f>
        <v>50</v>
      </c>
      <c r="I106" s="60">
        <f>INDEX(E106:G106,$J$8)</f>
        <v>50</v>
      </c>
      <c r="K106" s="23" t="s">
        <v>192</v>
      </c>
      <c r="L106" s="58" t="s">
        <v>392</v>
      </c>
      <c r="M106" s="54" t="s">
        <v>321</v>
      </c>
    </row>
    <row r="107" spans="2:13" ht="13.5" customHeight="1">
      <c r="B107" s="25" t="s">
        <v>193</v>
      </c>
      <c r="C107" s="195" t="str">
        <f>$D$7&amp;"/MWh"</f>
        <v>HUF/MWh</v>
      </c>
      <c r="D107" s="7" t="s">
        <v>353</v>
      </c>
      <c r="E107" s="48">
        <f>'Control Panel'!D109</f>
        <v>120</v>
      </c>
      <c r="F107" s="48">
        <f>'Control Panel'!E109</f>
        <v>140</v>
      </c>
      <c r="G107" s="48">
        <f>'Control Panel'!F109</f>
        <v>100</v>
      </c>
      <c r="I107" s="60">
        <f>INDEX(E107:G107,$J$8)</f>
        <v>120</v>
      </c>
      <c r="K107" s="23" t="s">
        <v>194</v>
      </c>
      <c r="L107" s="58" t="s">
        <v>392</v>
      </c>
      <c r="M107" s="54" t="s">
        <v>321</v>
      </c>
    </row>
    <row r="108" spans="2:13" ht="13.5" customHeight="1">
      <c r="B108" s="25" t="s">
        <v>393</v>
      </c>
      <c r="C108" s="195" t="s">
        <v>201</v>
      </c>
      <c r="D108" s="7" t="s">
        <v>320</v>
      </c>
      <c r="E108" s="78"/>
      <c r="F108" s="78"/>
      <c r="G108" s="78"/>
      <c r="I108" s="79">
        <f>INDEX(Parameters!$E$27:$G$27,$D$6)</f>
        <v>5.0000000000000001E-3</v>
      </c>
      <c r="K108" s="23" t="s">
        <v>394</v>
      </c>
      <c r="L108" s="58" t="s">
        <v>338</v>
      </c>
      <c r="M108" s="76" t="s">
        <v>395</v>
      </c>
    </row>
    <row r="109" spans="2:13" ht="13.5" customHeight="1">
      <c r="B109" s="25" t="s">
        <v>195</v>
      </c>
      <c r="C109" s="195" t="s">
        <v>196</v>
      </c>
      <c r="D109" s="7" t="s">
        <v>353</v>
      </c>
      <c r="E109" s="74">
        <f>'Control Panel'!D110</f>
        <v>0.02</v>
      </c>
      <c r="F109" s="74">
        <f>'Control Panel'!E110</f>
        <v>2.5000000000000001E-2</v>
      </c>
      <c r="G109" s="74">
        <f>'Control Panel'!F110</f>
        <v>1.4999999999999999E-2</v>
      </c>
      <c r="I109" s="75">
        <f>INDEX(E109:G109,$J$8)</f>
        <v>0.02</v>
      </c>
      <c r="K109" s="23" t="s">
        <v>197</v>
      </c>
      <c r="L109" s="58"/>
      <c r="M109" s="54" t="s">
        <v>328</v>
      </c>
    </row>
    <row r="110" spans="2:13" ht="13.5" customHeight="1">
      <c r="B110" s="25" t="s">
        <v>198</v>
      </c>
      <c r="C110" s="195" t="str">
        <f>$D$7&amp;"/yr"</f>
        <v>HUF/yr</v>
      </c>
      <c r="D110" s="7" t="s">
        <v>353</v>
      </c>
      <c r="E110" s="48">
        <f>'Control Panel'!D111</f>
        <v>8000</v>
      </c>
      <c r="F110" s="48">
        <f>'Control Panel'!E111</f>
        <v>10000</v>
      </c>
      <c r="G110" s="48">
        <f>'Control Panel'!F111</f>
        <v>6000</v>
      </c>
      <c r="I110" s="60">
        <f>INDEX(E110:G110,$J$8)</f>
        <v>8000</v>
      </c>
      <c r="K110" s="23" t="s">
        <v>199</v>
      </c>
      <c r="L110" s="71" t="s">
        <v>396</v>
      </c>
      <c r="M110" s="72" t="s">
        <v>359</v>
      </c>
    </row>
    <row r="111" spans="2:13" ht="13.5" customHeight="1">
      <c r="B111" s="25" t="s">
        <v>200</v>
      </c>
      <c r="C111" s="195" t="s">
        <v>201</v>
      </c>
      <c r="D111" s="7" t="s">
        <v>353</v>
      </c>
      <c r="E111" s="74">
        <f>'Control Panel'!D112</f>
        <v>0.01</v>
      </c>
      <c r="F111" s="74">
        <f>'Control Panel'!E112</f>
        <v>1.4999999999999999E-2</v>
      </c>
      <c r="G111" s="74">
        <f>'Control Panel'!F112</f>
        <v>5.0000000000000001E-3</v>
      </c>
      <c r="I111" s="75">
        <f>INDEX(E111:G111,$J$8)</f>
        <v>0.01</v>
      </c>
      <c r="K111" s="23" t="s">
        <v>202</v>
      </c>
      <c r="L111" s="58"/>
      <c r="M111" s="54" t="s">
        <v>328</v>
      </c>
    </row>
    <row r="112" spans="2:13" ht="13.5" customHeight="1"/>
    <row r="113" spans="2:13" ht="13.5" customHeight="1">
      <c r="B113" s="191" t="s">
        <v>203</v>
      </c>
      <c r="C113" s="193"/>
      <c r="D113" s="4"/>
      <c r="E113" s="4"/>
      <c r="F113" s="4"/>
      <c r="G113" s="4"/>
      <c r="H113" s="4"/>
      <c r="I113" s="4"/>
      <c r="J113" s="4"/>
      <c r="K113" s="4"/>
      <c r="L113" s="50"/>
      <c r="M113" s="4"/>
    </row>
    <row r="114" spans="2:13" ht="13.5" customHeight="1"/>
    <row r="115" spans="2:13" ht="13.5" customHeight="1">
      <c r="B115" s="24" t="s">
        <v>334</v>
      </c>
      <c r="C115" s="196" t="s">
        <v>26</v>
      </c>
      <c r="D115" s="18" t="s">
        <v>315</v>
      </c>
      <c r="E115" s="18" t="s">
        <v>34</v>
      </c>
      <c r="F115" s="18" t="s">
        <v>93</v>
      </c>
      <c r="G115" s="18" t="s">
        <v>94</v>
      </c>
      <c r="I115" s="18" t="s">
        <v>27</v>
      </c>
      <c r="K115" s="24" t="s">
        <v>316</v>
      </c>
      <c r="L115" s="56" t="s">
        <v>317</v>
      </c>
      <c r="M115" s="18" t="s">
        <v>318</v>
      </c>
    </row>
    <row r="116" spans="2:13" ht="13.5" customHeight="1"/>
    <row r="117" spans="2:13" ht="13.5" customHeight="1">
      <c r="B117" s="25" t="s">
        <v>204</v>
      </c>
      <c r="C117" s="195" t="s">
        <v>115</v>
      </c>
      <c r="D117" s="7" t="s">
        <v>325</v>
      </c>
      <c r="E117" s="43">
        <f>'Control Panel'!D116</f>
        <v>0.09</v>
      </c>
      <c r="F117" s="43">
        <f>'Control Panel'!E116</f>
        <v>0.09</v>
      </c>
      <c r="G117" s="43">
        <f>'Control Panel'!F116</f>
        <v>0.09</v>
      </c>
      <c r="I117" s="70">
        <f>INDEX(E117:G117,$J$8)</f>
        <v>0.09</v>
      </c>
      <c r="K117" s="23" t="s">
        <v>205</v>
      </c>
      <c r="L117" s="58" t="s">
        <v>397</v>
      </c>
      <c r="M117" s="54" t="s">
        <v>321</v>
      </c>
    </row>
    <row r="118" spans="2:13" ht="13.5" customHeight="1">
      <c r="B118" s="25" t="s">
        <v>206</v>
      </c>
      <c r="C118" s="195" t="s">
        <v>115</v>
      </c>
      <c r="D118" s="7" t="s">
        <v>325</v>
      </c>
      <c r="E118" s="43">
        <f>'Control Panel'!D117</f>
        <v>0.05</v>
      </c>
      <c r="F118" s="43">
        <f>'Control Panel'!E117</f>
        <v>0.05</v>
      </c>
      <c r="G118" s="43">
        <f>'Control Panel'!F117</f>
        <v>0.05</v>
      </c>
      <c r="I118" s="70">
        <f>INDEX(E118:G118,$J$8)</f>
        <v>0.05</v>
      </c>
      <c r="K118" s="23" t="s">
        <v>207</v>
      </c>
      <c r="L118" s="58" t="s">
        <v>397</v>
      </c>
      <c r="M118" s="54" t="s">
        <v>328</v>
      </c>
    </row>
    <row r="119" spans="2:13" ht="13.5" customHeight="1">
      <c r="B119" s="25" t="s">
        <v>208</v>
      </c>
      <c r="C119" s="195" t="s">
        <v>54</v>
      </c>
      <c r="D119" s="7" t="s">
        <v>325</v>
      </c>
      <c r="E119" s="20" t="str">
        <f>'Control Panel'!D118</f>
        <v>Yes</v>
      </c>
      <c r="F119" s="20" t="str">
        <f>'Control Panel'!E118</f>
        <v>Yes</v>
      </c>
      <c r="G119" s="20" t="str">
        <f>'Control Panel'!F118</f>
        <v>Yes</v>
      </c>
      <c r="I119" s="44" t="str">
        <f>INDEX(E119:G119,$J$8)</f>
        <v>Yes</v>
      </c>
      <c r="K119" s="23" t="s">
        <v>209</v>
      </c>
      <c r="L119" s="58" t="s">
        <v>397</v>
      </c>
      <c r="M119" s="54" t="s">
        <v>321</v>
      </c>
    </row>
    <row r="120" spans="2:13" ht="13.5" customHeight="1"/>
    <row r="121" spans="2:13" ht="13.5" customHeight="1">
      <c r="B121" s="191" t="s">
        <v>210</v>
      </c>
      <c r="C121" s="193"/>
      <c r="D121" s="4"/>
      <c r="E121" s="4"/>
      <c r="F121" s="4"/>
      <c r="G121" s="4"/>
      <c r="H121" s="4"/>
      <c r="I121" s="4"/>
      <c r="J121" s="4"/>
      <c r="K121" s="4"/>
      <c r="L121" s="50"/>
      <c r="M121" s="4"/>
    </row>
    <row r="122" spans="2:13" ht="13.5" customHeight="1"/>
    <row r="123" spans="2:13" ht="13.5" customHeight="1">
      <c r="B123" s="24" t="s">
        <v>334</v>
      </c>
      <c r="C123" s="196" t="s">
        <v>26</v>
      </c>
      <c r="D123" s="18" t="s">
        <v>315</v>
      </c>
      <c r="E123" s="18" t="s">
        <v>34</v>
      </c>
      <c r="F123" s="18" t="s">
        <v>93</v>
      </c>
      <c r="G123" s="18" t="s">
        <v>94</v>
      </c>
      <c r="I123" s="18" t="s">
        <v>27</v>
      </c>
      <c r="K123" s="24" t="s">
        <v>316</v>
      </c>
      <c r="L123" s="56" t="s">
        <v>317</v>
      </c>
      <c r="M123" s="18" t="s">
        <v>318</v>
      </c>
    </row>
    <row r="124" spans="2:13" ht="13.5" customHeight="1"/>
    <row r="125" spans="2:13" ht="13.5" customHeight="1">
      <c r="B125" s="25" t="s">
        <v>211</v>
      </c>
      <c r="C125" s="195" t="s">
        <v>115</v>
      </c>
      <c r="D125" s="7" t="s">
        <v>353</v>
      </c>
      <c r="E125" s="43">
        <f>'Control Panel'!D122</f>
        <v>0.3</v>
      </c>
      <c r="F125" s="43">
        <f>'Control Panel'!E122</f>
        <v>0.2</v>
      </c>
      <c r="G125" s="43">
        <f>'Control Panel'!F122</f>
        <v>0.4</v>
      </c>
      <c r="I125" s="70">
        <f t="shared" ref="I125:I132" si="3">INDEX(E125:G125,$J$8)</f>
        <v>0.3</v>
      </c>
      <c r="K125" s="23" t="s">
        <v>212</v>
      </c>
      <c r="L125" s="58" t="s">
        <v>398</v>
      </c>
      <c r="M125" s="54" t="s">
        <v>321</v>
      </c>
    </row>
    <row r="126" spans="2:13" ht="13.5" customHeight="1">
      <c r="B126" s="25" t="s">
        <v>213</v>
      </c>
      <c r="C126" s="195" t="s">
        <v>115</v>
      </c>
      <c r="D126" s="7" t="s">
        <v>325</v>
      </c>
      <c r="E126" s="43">
        <f>'Control Panel'!D123</f>
        <v>0.5</v>
      </c>
      <c r="F126" s="43">
        <f>'Control Panel'!E123</f>
        <v>0.5</v>
      </c>
      <c r="G126" s="43">
        <f>'Control Panel'!F123</f>
        <v>0.5</v>
      </c>
      <c r="I126" s="70">
        <f t="shared" si="3"/>
        <v>0.5</v>
      </c>
      <c r="K126" s="23" t="s">
        <v>214</v>
      </c>
      <c r="L126" s="58" t="s">
        <v>399</v>
      </c>
      <c r="M126" s="54" t="s">
        <v>321</v>
      </c>
    </row>
    <row r="127" spans="2:13" ht="13.5" customHeight="1">
      <c r="B127" s="25" t="s">
        <v>215</v>
      </c>
      <c r="C127" s="195" t="s">
        <v>115</v>
      </c>
      <c r="D127" s="7" t="s">
        <v>353</v>
      </c>
      <c r="E127" s="74">
        <f>'Control Panel'!D124</f>
        <v>0.06</v>
      </c>
      <c r="F127" s="74">
        <f>'Control Panel'!E124</f>
        <v>7.4999999999999997E-2</v>
      </c>
      <c r="G127" s="74">
        <f>'Control Panel'!F124</f>
        <v>0.05</v>
      </c>
      <c r="I127" s="75">
        <f t="shared" si="3"/>
        <v>0.06</v>
      </c>
      <c r="K127" s="23" t="s">
        <v>216</v>
      </c>
      <c r="L127" s="58" t="s">
        <v>399</v>
      </c>
      <c r="M127" s="54" t="s">
        <v>321</v>
      </c>
    </row>
    <row r="128" spans="2:13" ht="13.5" customHeight="1">
      <c r="B128" s="25" t="s">
        <v>217</v>
      </c>
      <c r="C128" s="195" t="s">
        <v>44</v>
      </c>
      <c r="D128" s="7" t="s">
        <v>325</v>
      </c>
      <c r="E128" s="61">
        <f>'Control Panel'!D125</f>
        <v>15</v>
      </c>
      <c r="F128" s="61">
        <f>'Control Panel'!E125</f>
        <v>15</v>
      </c>
      <c r="G128" s="61">
        <f>'Control Panel'!F125</f>
        <v>15</v>
      </c>
      <c r="I128" s="62">
        <f t="shared" si="3"/>
        <v>15</v>
      </c>
      <c r="K128" s="23" t="s">
        <v>218</v>
      </c>
      <c r="L128" s="58" t="s">
        <v>399</v>
      </c>
      <c r="M128" s="54" t="s">
        <v>321</v>
      </c>
    </row>
    <row r="129" spans="2:13" ht="13.5" customHeight="1">
      <c r="B129" s="25" t="s">
        <v>219</v>
      </c>
      <c r="C129" s="195" t="s">
        <v>220</v>
      </c>
      <c r="D129" s="7" t="s">
        <v>325</v>
      </c>
      <c r="E129" s="74">
        <f>'Control Panel'!D126</f>
        <v>0.01</v>
      </c>
      <c r="F129" s="74">
        <f>'Control Panel'!E126</f>
        <v>0.01</v>
      </c>
      <c r="G129" s="74">
        <f>'Control Panel'!F126</f>
        <v>0.01</v>
      </c>
      <c r="I129" s="75">
        <f t="shared" si="3"/>
        <v>0.01</v>
      </c>
      <c r="K129" s="23" t="s">
        <v>221</v>
      </c>
      <c r="L129" s="58" t="s">
        <v>399</v>
      </c>
      <c r="M129" s="54" t="s">
        <v>328</v>
      </c>
    </row>
    <row r="130" spans="2:13" ht="13.5" customHeight="1">
      <c r="B130" s="25" t="s">
        <v>222</v>
      </c>
      <c r="C130" s="195" t="s">
        <v>33</v>
      </c>
      <c r="D130" s="7" t="s">
        <v>325</v>
      </c>
      <c r="E130" s="20" t="str">
        <f>'Control Panel'!D127</f>
        <v>Equal debt service (annuity)</v>
      </c>
      <c r="F130" s="20" t="str">
        <f>'Control Panel'!E127</f>
        <v>Equal debt service (annuity)</v>
      </c>
      <c r="G130" s="20" t="str">
        <f>'Control Panel'!F127</f>
        <v>Equal debt service (annuity)</v>
      </c>
      <c r="I130" s="44" t="str">
        <f t="shared" si="3"/>
        <v>Equal debt service (annuity)</v>
      </c>
      <c r="K130" s="23" t="s">
        <v>224</v>
      </c>
      <c r="L130" s="58" t="s">
        <v>399</v>
      </c>
      <c r="M130" s="54" t="s">
        <v>321</v>
      </c>
    </row>
    <row r="131" spans="2:13" ht="13.5" customHeight="1">
      <c r="B131" s="25" t="s">
        <v>225</v>
      </c>
      <c r="C131" s="195" t="s">
        <v>226</v>
      </c>
      <c r="D131" s="7" t="s">
        <v>325</v>
      </c>
      <c r="E131" s="80">
        <f>'Control Panel'!D128</f>
        <v>1.3</v>
      </c>
      <c r="F131" s="80">
        <f>'Control Panel'!E128</f>
        <v>1.3</v>
      </c>
      <c r="G131" s="80">
        <f>'Control Panel'!F128</f>
        <v>1.3</v>
      </c>
      <c r="I131" s="81">
        <f t="shared" si="3"/>
        <v>1.3</v>
      </c>
      <c r="K131" s="23" t="s">
        <v>227</v>
      </c>
      <c r="L131" s="58" t="s">
        <v>399</v>
      </c>
      <c r="M131" s="54" t="s">
        <v>321</v>
      </c>
    </row>
    <row r="132" spans="2:13" ht="13.5" customHeight="1">
      <c r="B132" s="25" t="s">
        <v>228</v>
      </c>
      <c r="C132" s="195" t="s">
        <v>33</v>
      </c>
      <c r="D132" s="7" t="s">
        <v>325</v>
      </c>
      <c r="E132" s="20" t="str">
        <f>'Control Panel'!D129</f>
        <v>EUR</v>
      </c>
      <c r="F132" s="20" t="str">
        <f>'Control Panel'!E129</f>
        <v>EUR</v>
      </c>
      <c r="G132" s="20" t="str">
        <f>'Control Panel'!F129</f>
        <v>EUR</v>
      </c>
      <c r="I132" s="44" t="str">
        <f t="shared" si="3"/>
        <v>EUR</v>
      </c>
      <c r="K132" s="23" t="s">
        <v>230</v>
      </c>
      <c r="L132" s="58" t="s">
        <v>399</v>
      </c>
      <c r="M132" s="54" t="s">
        <v>321</v>
      </c>
    </row>
    <row r="133" spans="2:13" ht="13.5" customHeight="1">
      <c r="B133" s="11" t="s">
        <v>400</v>
      </c>
      <c r="C133" s="195" t="s">
        <v>69</v>
      </c>
      <c r="D133" s="7" t="s">
        <v>320</v>
      </c>
      <c r="I133" s="44" t="str">
        <f>IF($D$7=I132,"Matched, no FX risk","MISMATCH - FX risk")</f>
        <v>MISMATCH - FX risk</v>
      </c>
      <c r="K133" s="23" t="s">
        <v>401</v>
      </c>
      <c r="M133" s="54" t="s">
        <v>323</v>
      </c>
    </row>
    <row r="134" spans="2:13" ht="13.5" customHeight="1"/>
    <row r="135" spans="2:13" ht="13.5" customHeight="1">
      <c r="B135" s="191" t="s">
        <v>231</v>
      </c>
      <c r="C135" s="193"/>
      <c r="D135" s="4"/>
      <c r="E135" s="4"/>
      <c r="F135" s="4"/>
      <c r="G135" s="4"/>
      <c r="H135" s="4"/>
      <c r="I135" s="4"/>
      <c r="J135" s="4"/>
      <c r="K135" s="4"/>
      <c r="L135" s="50"/>
      <c r="M135" s="4"/>
    </row>
    <row r="136" spans="2:13" ht="13.5" customHeight="1"/>
    <row r="137" spans="2:13" ht="13.5" customHeight="1">
      <c r="B137" s="24" t="s">
        <v>334</v>
      </c>
      <c r="C137" s="196" t="s">
        <v>26</v>
      </c>
      <c r="D137" s="18" t="s">
        <v>315</v>
      </c>
      <c r="E137" s="18" t="s">
        <v>34</v>
      </c>
      <c r="F137" s="18" t="s">
        <v>93</v>
      </c>
      <c r="G137" s="18" t="s">
        <v>94</v>
      </c>
      <c r="I137" s="18" t="s">
        <v>27</v>
      </c>
      <c r="K137" s="24" t="s">
        <v>316</v>
      </c>
      <c r="L137" s="56" t="s">
        <v>317</v>
      </c>
      <c r="M137" s="18" t="s">
        <v>318</v>
      </c>
    </row>
    <row r="138" spans="2:13" ht="13.5" customHeight="1"/>
    <row r="139" spans="2:13" ht="13.5" customHeight="1">
      <c r="B139" s="25" t="s">
        <v>232</v>
      </c>
      <c r="C139" s="195" t="s">
        <v>115</v>
      </c>
      <c r="D139" s="7" t="s">
        <v>325</v>
      </c>
      <c r="E139" s="82">
        <f>'Control Panel'!D133</f>
        <v>0.02</v>
      </c>
      <c r="F139" s="82">
        <f>'Control Panel'!E133</f>
        <v>0.02</v>
      </c>
      <c r="G139" s="82">
        <f>'Control Panel'!F133</f>
        <v>0.02</v>
      </c>
      <c r="I139" s="75">
        <f>INDEX(E139:G139,$J$8)</f>
        <v>0.02</v>
      </c>
      <c r="K139" s="23" t="s">
        <v>233</v>
      </c>
      <c r="L139" s="58"/>
      <c r="M139" s="54" t="s">
        <v>328</v>
      </c>
    </row>
    <row r="140" spans="2:13" ht="13.5" customHeight="1">
      <c r="B140" s="25" t="s">
        <v>234</v>
      </c>
      <c r="C140" s="195" t="s">
        <v>201</v>
      </c>
      <c r="D140" s="7" t="s">
        <v>353</v>
      </c>
      <c r="E140" s="82">
        <f>'Control Panel'!D134</f>
        <v>0.03</v>
      </c>
      <c r="F140" s="82">
        <f>'Control Panel'!E134</f>
        <v>0.04</v>
      </c>
      <c r="G140" s="82">
        <f>'Control Panel'!F134</f>
        <v>0.02</v>
      </c>
      <c r="I140" s="75">
        <f>INDEX(E140:G140,$J$8)</f>
        <v>0.03</v>
      </c>
      <c r="K140" s="23" t="s">
        <v>235</v>
      </c>
      <c r="L140" s="58"/>
      <c r="M140" s="54" t="s">
        <v>328</v>
      </c>
    </row>
    <row r="141" spans="2:13" ht="13.5" customHeight="1">
      <c r="B141" s="25" t="s">
        <v>236</v>
      </c>
      <c r="C141" s="195" t="s">
        <v>201</v>
      </c>
      <c r="D141" s="7" t="s">
        <v>353</v>
      </c>
      <c r="E141" s="82">
        <f>'Control Panel'!D135</f>
        <v>0.02</v>
      </c>
      <c r="F141" s="82">
        <f>'Control Panel'!E135</f>
        <v>0.03</v>
      </c>
      <c r="G141" s="82">
        <f>'Control Panel'!F135</f>
        <v>1.4999999999999999E-2</v>
      </c>
      <c r="I141" s="75">
        <f>INDEX(E141:G141,$J$8)</f>
        <v>0.02</v>
      </c>
      <c r="K141" s="23" t="s">
        <v>237</v>
      </c>
      <c r="L141" s="58"/>
      <c r="M141" s="54" t="s">
        <v>328</v>
      </c>
    </row>
    <row r="142" spans="2:13" ht="13.5" customHeight="1">
      <c r="C142" s="197"/>
      <c r="E142" s="83"/>
      <c r="F142" s="83"/>
      <c r="G142" s="83"/>
      <c r="M142" s="25"/>
    </row>
    <row r="143" spans="2:13" ht="13.5" customHeight="1">
      <c r="B143" s="192" t="s">
        <v>402</v>
      </c>
      <c r="C143" s="197"/>
      <c r="E143" s="83"/>
      <c r="F143" s="83"/>
      <c r="G143" s="83"/>
      <c r="M143" s="25"/>
    </row>
    <row r="144" spans="2:13" ht="13.5" customHeight="1">
      <c r="B144" s="25" t="s">
        <v>238</v>
      </c>
      <c r="C144" s="195" t="s">
        <v>115</v>
      </c>
      <c r="D144" s="7" t="s">
        <v>325</v>
      </c>
      <c r="E144" s="82">
        <f>'Control Panel'!D136</f>
        <v>0.03</v>
      </c>
      <c r="F144" s="82">
        <f>'Control Panel'!E136</f>
        <v>0.03</v>
      </c>
      <c r="G144" s="82">
        <f>'Control Panel'!F136</f>
        <v>0.03</v>
      </c>
      <c r="I144" s="75">
        <f t="shared" ref="I144:I152" si="4">INDEX(E144:G144,$J$8)</f>
        <v>0.03</v>
      </c>
      <c r="K144" s="23" t="s">
        <v>239</v>
      </c>
      <c r="L144" s="58" t="s">
        <v>403</v>
      </c>
      <c r="M144" s="54" t="s">
        <v>328</v>
      </c>
    </row>
    <row r="145" spans="2:13" ht="13.5" customHeight="1">
      <c r="B145" s="25" t="s">
        <v>240</v>
      </c>
      <c r="C145" s="195" t="s">
        <v>115</v>
      </c>
      <c r="D145" s="7" t="s">
        <v>325</v>
      </c>
      <c r="E145" s="82">
        <f>'Control Panel'!D137</f>
        <v>5.5E-2</v>
      </c>
      <c r="F145" s="82">
        <f>'Control Panel'!E137</f>
        <v>5.5E-2</v>
      </c>
      <c r="G145" s="82">
        <f>'Control Panel'!F137</f>
        <v>5.5E-2</v>
      </c>
      <c r="I145" s="75">
        <f t="shared" si="4"/>
        <v>5.5E-2</v>
      </c>
      <c r="K145" s="23" t="s">
        <v>241</v>
      </c>
      <c r="L145" s="58" t="s">
        <v>404</v>
      </c>
      <c r="M145" s="54" t="s">
        <v>328</v>
      </c>
    </row>
    <row r="146" spans="2:13" ht="13.5" customHeight="1">
      <c r="B146" s="25" t="s">
        <v>242</v>
      </c>
      <c r="C146" s="195" t="s">
        <v>226</v>
      </c>
      <c r="D146" s="7" t="s">
        <v>325</v>
      </c>
      <c r="E146" s="84">
        <f>'Control Panel'!D138</f>
        <v>0.55000000000000004</v>
      </c>
      <c r="F146" s="84">
        <f>'Control Panel'!E138</f>
        <v>0.55000000000000004</v>
      </c>
      <c r="G146" s="84">
        <f>'Control Panel'!F138</f>
        <v>0.55000000000000004</v>
      </c>
      <c r="I146" s="81">
        <f t="shared" si="4"/>
        <v>0.55000000000000004</v>
      </c>
      <c r="K146" s="23" t="s">
        <v>243</v>
      </c>
      <c r="L146" s="58" t="s">
        <v>405</v>
      </c>
      <c r="M146" s="54" t="s">
        <v>328</v>
      </c>
    </row>
    <row r="147" spans="2:13" ht="13.5" customHeight="1">
      <c r="B147" s="25" t="s">
        <v>244</v>
      </c>
      <c r="C147" s="195" t="s">
        <v>115</v>
      </c>
      <c r="D147" s="7" t="s">
        <v>353</v>
      </c>
      <c r="E147" s="74">
        <f>'Control Panel'!D139</f>
        <v>0.02</v>
      </c>
      <c r="F147" s="74">
        <f>'Control Panel'!E139</f>
        <v>2.5000000000000001E-2</v>
      </c>
      <c r="G147" s="74">
        <f>'Control Panel'!F139</f>
        <v>1.4999999999999999E-2</v>
      </c>
      <c r="I147" s="75">
        <f t="shared" si="4"/>
        <v>0.02</v>
      </c>
      <c r="K147" s="23" t="s">
        <v>245</v>
      </c>
      <c r="L147" s="58" t="s">
        <v>406</v>
      </c>
      <c r="M147" s="54" t="s">
        <v>321</v>
      </c>
    </row>
    <row r="148" spans="2:13" ht="13.5" customHeight="1">
      <c r="B148" s="25" t="s">
        <v>407</v>
      </c>
      <c r="C148" s="195" t="s">
        <v>226</v>
      </c>
      <c r="D148" s="7" t="s">
        <v>320</v>
      </c>
      <c r="E148" s="339">
        <f>IF((1-E125-E126)&lt;=0,E146,E146*(1+(1-E117)*(E126/(1-E125-E126))))</f>
        <v>1.8012500000000002</v>
      </c>
      <c r="F148" s="339">
        <f>IF((1-F125-F126)&lt;=0,F146,F146*(1+(1-F117)*(F126/(1-F125-F126))))</f>
        <v>1.3841666666666668</v>
      </c>
      <c r="G148" s="339">
        <f>IF((1-G125-G126)&lt;=0,G146,G146*(1+(1-G117)*(G126/(1-G125-G126))))</f>
        <v>3.0525000000000007</v>
      </c>
      <c r="I148" s="81">
        <f t="shared" si="4"/>
        <v>1.8012500000000002</v>
      </c>
      <c r="K148" s="23" t="s">
        <v>408</v>
      </c>
      <c r="M148" s="54" t="s">
        <v>323</v>
      </c>
    </row>
    <row r="149" spans="2:13" ht="13.5" customHeight="1">
      <c r="B149" s="25" t="s">
        <v>409</v>
      </c>
      <c r="C149" s="195" t="s">
        <v>115</v>
      </c>
      <c r="D149" s="7" t="s">
        <v>320</v>
      </c>
      <c r="E149" s="340">
        <f>E144+E148*E145</f>
        <v>0.12906875000000001</v>
      </c>
      <c r="F149" s="340">
        <f>F144+F148*F145</f>
        <v>0.10612916666666668</v>
      </c>
      <c r="G149" s="340">
        <f>G144+G148*G145</f>
        <v>0.19788750000000005</v>
      </c>
      <c r="I149" s="75">
        <f t="shared" si="4"/>
        <v>0.12906875000000001</v>
      </c>
      <c r="K149" s="23" t="s">
        <v>410</v>
      </c>
      <c r="M149" s="54" t="s">
        <v>323</v>
      </c>
    </row>
    <row r="150" spans="2:13" ht="13.5" customHeight="1">
      <c r="B150" s="25" t="s">
        <v>411</v>
      </c>
      <c r="C150" s="195" t="s">
        <v>115</v>
      </c>
      <c r="D150" s="7" t="s">
        <v>320</v>
      </c>
      <c r="E150" s="340">
        <f>(E144+E147)*(1-E117)</f>
        <v>4.5500000000000006E-2</v>
      </c>
      <c r="F150" s="340">
        <f>(F144+F147)*(1-F117)</f>
        <v>5.0050000000000004E-2</v>
      </c>
      <c r="G150" s="340">
        <f>(G144+G147)*(1-G117)</f>
        <v>4.095E-2</v>
      </c>
      <c r="I150" s="75">
        <f t="shared" si="4"/>
        <v>4.5500000000000006E-2</v>
      </c>
      <c r="K150" s="23" t="s">
        <v>412</v>
      </c>
      <c r="M150" s="54" t="s">
        <v>323</v>
      </c>
    </row>
    <row r="151" spans="2:13" ht="13.5" customHeight="1">
      <c r="B151" s="25" t="s">
        <v>402</v>
      </c>
      <c r="C151" s="195" t="s">
        <v>115</v>
      </c>
      <c r="D151" s="7" t="s">
        <v>320</v>
      </c>
      <c r="E151" s="340">
        <f>IF((1-E125)&lt;=0,0,IFERROR(((1-E125-E126)/(1-E125))*E149+(E126/(1-E125))*E150,0))</f>
        <v>6.937678571428571E-2</v>
      </c>
      <c r="F151" s="340">
        <f>IF((1-F125)&lt;=0,0,IFERROR(((1-F125-F126)/(1-F125))*F149+(F126/(1-F125))*F150,0))</f>
        <v>7.1079687500000016E-2</v>
      </c>
      <c r="G151" s="340">
        <f>IF((1-G125)&lt;=0,0,IFERROR(((1-G125-G126)/(1-G125))*G149+(G126/(1-G125))*G150,0))</f>
        <v>6.7106250000000006E-2</v>
      </c>
      <c r="I151" s="75">
        <f t="shared" si="4"/>
        <v>6.937678571428571E-2</v>
      </c>
      <c r="K151" s="23" t="s">
        <v>413</v>
      </c>
      <c r="M151" s="54" t="s">
        <v>323</v>
      </c>
    </row>
    <row r="152" spans="2:13" ht="13.5" customHeight="1">
      <c r="B152" s="25" t="s">
        <v>414</v>
      </c>
      <c r="C152" s="195" t="s">
        <v>115</v>
      </c>
      <c r="D152" s="7" t="s">
        <v>320</v>
      </c>
      <c r="E152" s="340">
        <f>E151</f>
        <v>6.937678571428571E-2</v>
      </c>
      <c r="F152" s="340">
        <f>F151</f>
        <v>7.1079687500000016E-2</v>
      </c>
      <c r="G152" s="340">
        <f>G151</f>
        <v>6.7106250000000006E-2</v>
      </c>
      <c r="I152" s="75">
        <f t="shared" si="4"/>
        <v>6.937678571428571E-2</v>
      </c>
      <c r="K152" s="23" t="s">
        <v>415</v>
      </c>
      <c r="M152" s="54" t="s">
        <v>323</v>
      </c>
    </row>
    <row r="153" spans="2:13" ht="13.5" customHeight="1">
      <c r="C153" s="197"/>
    </row>
    <row r="154" spans="2:13" ht="13.5" customHeight="1">
      <c r="B154" s="11" t="s">
        <v>416</v>
      </c>
      <c r="C154" s="197"/>
    </row>
    <row r="155" spans="2:13" ht="13.5" customHeight="1">
      <c r="B155" s="25" t="s">
        <v>246</v>
      </c>
      <c r="C155" s="195" t="s">
        <v>201</v>
      </c>
      <c r="D155" s="7" t="s">
        <v>353</v>
      </c>
      <c r="E155" s="74">
        <f>'Control Panel'!D140</f>
        <v>5.0000000000000001E-3</v>
      </c>
      <c r="F155" s="74">
        <f>'Control Panel'!E140</f>
        <v>7.0000000000000001E-3</v>
      </c>
      <c r="G155" s="74">
        <f>'Control Panel'!F140</f>
        <v>3.0000000000000001E-3</v>
      </c>
      <c r="I155" s="75">
        <f>INDEX(E155:G155,$J$8)</f>
        <v>5.0000000000000001E-3</v>
      </c>
      <c r="M155" s="15"/>
    </row>
    <row r="156" spans="2:13" ht="13.5" customHeight="1">
      <c r="B156" s="25" t="s">
        <v>248</v>
      </c>
      <c r="C156" s="195" t="s">
        <v>201</v>
      </c>
      <c r="D156" s="7" t="s">
        <v>353</v>
      </c>
      <c r="E156" s="74">
        <f>'Control Panel'!D141</f>
        <v>2E-3</v>
      </c>
      <c r="F156" s="74">
        <f>'Control Panel'!E141</f>
        <v>3.0000000000000001E-3</v>
      </c>
      <c r="G156" s="74">
        <f>'Control Panel'!F141</f>
        <v>1E-3</v>
      </c>
      <c r="I156" s="75">
        <f>INDEX(E156:G156,$J$8)</f>
        <v>2E-3</v>
      </c>
      <c r="M156" s="15" t="s">
        <v>321</v>
      </c>
    </row>
    <row r="157" spans="2:13" ht="13.5" customHeight="1">
      <c r="C157" s="197"/>
      <c r="M157" s="15" t="s">
        <v>321</v>
      </c>
    </row>
    <row r="158" spans="2:13" ht="13.5" customHeight="1">
      <c r="B158" s="14" t="s">
        <v>250</v>
      </c>
      <c r="C158" s="199"/>
      <c r="D158" s="40"/>
      <c r="E158" s="40"/>
      <c r="F158" s="40"/>
      <c r="G158" s="40"/>
      <c r="H158" s="40"/>
      <c r="I158" s="40"/>
      <c r="J158" s="40"/>
      <c r="K158" s="40"/>
      <c r="L158" s="40"/>
      <c r="M158" s="341"/>
    </row>
    <row r="159" spans="2:13" ht="13.5" customHeight="1">
      <c r="B159" s="25" t="s">
        <v>251</v>
      </c>
      <c r="C159" s="200" t="s">
        <v>54</v>
      </c>
      <c r="E159" s="179" t="str">
        <f>'Control Panel'!D145</f>
        <v>No</v>
      </c>
      <c r="F159" s="179" t="str">
        <f>'Control Panel'!E145</f>
        <v>No</v>
      </c>
      <c r="G159" s="179" t="str">
        <f>'Control Panel'!F145</f>
        <v>No</v>
      </c>
      <c r="I159" s="44" t="str">
        <f t="shared" ref="I159:I164" si="5">INDEX(E159:G159,$J$8)</f>
        <v>No</v>
      </c>
      <c r="M159" s="15" t="s">
        <v>321</v>
      </c>
    </row>
    <row r="160" spans="2:13" ht="13.5" customHeight="1">
      <c r="B160" s="25" t="s">
        <v>253</v>
      </c>
      <c r="C160" s="200" t="s">
        <v>112</v>
      </c>
      <c r="E160" s="180">
        <f>'Control Panel'!D146</f>
        <v>500</v>
      </c>
      <c r="F160" s="180">
        <f>'Control Panel'!E146</f>
        <v>500</v>
      </c>
      <c r="G160" s="180">
        <f>'Control Panel'!F146</f>
        <v>500</v>
      </c>
      <c r="I160" s="60">
        <f t="shared" si="5"/>
        <v>500</v>
      </c>
      <c r="K160" s="23" t="s">
        <v>417</v>
      </c>
      <c r="M160" s="15" t="s">
        <v>321</v>
      </c>
    </row>
    <row r="161" spans="2:13" ht="13.5" customHeight="1">
      <c r="B161" s="25" t="s">
        <v>255</v>
      </c>
      <c r="C161" s="200" t="s">
        <v>71</v>
      </c>
      <c r="E161" s="180">
        <f>'Control Panel'!D147</f>
        <v>800</v>
      </c>
      <c r="F161" s="180">
        <f>'Control Panel'!E147</f>
        <v>800</v>
      </c>
      <c r="G161" s="180">
        <f>'Control Panel'!F147</f>
        <v>800</v>
      </c>
      <c r="I161" s="60">
        <f t="shared" si="5"/>
        <v>800</v>
      </c>
      <c r="K161" s="23" t="s">
        <v>418</v>
      </c>
      <c r="M161" s="15" t="s">
        <v>321</v>
      </c>
    </row>
    <row r="162" spans="2:13" ht="13.5" customHeight="1">
      <c r="B162" s="25" t="s">
        <v>257</v>
      </c>
      <c r="C162" s="200" t="s">
        <v>226</v>
      </c>
      <c r="E162" s="337">
        <f>'Control Panel'!D148</f>
        <v>0.55000000000000004</v>
      </c>
      <c r="F162" s="337">
        <f>'Control Panel'!E148</f>
        <v>0.55000000000000004</v>
      </c>
      <c r="G162" s="337">
        <f>'Control Panel'!F148</f>
        <v>0.55000000000000004</v>
      </c>
      <c r="I162" s="81">
        <f t="shared" si="5"/>
        <v>0.55000000000000004</v>
      </c>
      <c r="K162" s="23" t="s">
        <v>419</v>
      </c>
      <c r="M162" s="15" t="s">
        <v>323</v>
      </c>
    </row>
    <row r="163" spans="2:13" ht="13.5" customHeight="1">
      <c r="B163" s="25" t="s">
        <v>259</v>
      </c>
      <c r="C163" s="200" t="s">
        <v>260</v>
      </c>
      <c r="E163" s="338">
        <f>'Control Panel'!D149</f>
        <v>600</v>
      </c>
      <c r="F163" s="338">
        <f>'Control Panel'!E149</f>
        <v>600</v>
      </c>
      <c r="G163" s="338">
        <f>'Control Panel'!F149</f>
        <v>600</v>
      </c>
      <c r="I163" s="60">
        <f t="shared" si="5"/>
        <v>600</v>
      </c>
      <c r="K163" s="23" t="s">
        <v>420</v>
      </c>
      <c r="M163" s="15" t="s">
        <v>323</v>
      </c>
    </row>
    <row r="164" spans="2:13" ht="13.5" customHeight="1">
      <c r="B164" s="25" t="s">
        <v>262</v>
      </c>
      <c r="C164" s="200" t="s">
        <v>112</v>
      </c>
      <c r="E164" s="180">
        <f>'Control Panel'!D150</f>
        <v>500</v>
      </c>
      <c r="F164" s="180">
        <f>'Control Panel'!E150</f>
        <v>500</v>
      </c>
      <c r="G164" s="180">
        <f>'Control Panel'!F150</f>
        <v>500</v>
      </c>
      <c r="I164" s="60">
        <f t="shared" si="5"/>
        <v>500</v>
      </c>
      <c r="K164" s="23" t="s">
        <v>421</v>
      </c>
      <c r="M164" s="15" t="s">
        <v>321</v>
      </c>
    </row>
    <row r="165" spans="2:13" ht="13.5" customHeight="1">
      <c r="B165" s="14" t="s">
        <v>264</v>
      </c>
      <c r="C165" s="199"/>
      <c r="D165" s="40"/>
      <c r="E165" s="40"/>
      <c r="F165" s="40"/>
      <c r="G165" s="40"/>
      <c r="H165" s="40"/>
      <c r="I165" s="40"/>
      <c r="J165" s="40"/>
      <c r="K165" s="40"/>
      <c r="L165" s="40"/>
      <c r="M165" s="341"/>
    </row>
    <row r="166" spans="2:13" ht="13.5" customHeight="1">
      <c r="B166" s="25" t="s">
        <v>265</v>
      </c>
      <c r="C166" s="200" t="s">
        <v>115</v>
      </c>
      <c r="E166" s="186">
        <f>'Control Panel'!D154</f>
        <v>0</v>
      </c>
      <c r="F166" s="186">
        <f>'Control Panel'!E154</f>
        <v>0</v>
      </c>
      <c r="G166" s="186">
        <f>'Control Panel'!F154</f>
        <v>0</v>
      </c>
      <c r="I166" s="336">
        <f>INDEX(E166:G166,$J$8)</f>
        <v>0</v>
      </c>
      <c r="K166" s="23" t="s">
        <v>422</v>
      </c>
      <c r="M166" s="15" t="s">
        <v>321</v>
      </c>
    </row>
    <row r="167" spans="2:13" ht="13.5" customHeight="1">
      <c r="B167" s="25" t="s">
        <v>267</v>
      </c>
      <c r="C167" s="200" t="s">
        <v>115</v>
      </c>
      <c r="E167" s="186">
        <f>'Control Panel'!D155</f>
        <v>0.4</v>
      </c>
      <c r="F167" s="186">
        <f>'Control Panel'!E155</f>
        <v>0.3</v>
      </c>
      <c r="G167" s="186">
        <f>'Control Panel'!F155</f>
        <v>0.5</v>
      </c>
      <c r="I167" s="336">
        <f>INDEX(E167:G167,$J$8)</f>
        <v>0.4</v>
      </c>
      <c r="K167" s="23" t="s">
        <v>423</v>
      </c>
      <c r="M167" s="15" t="s">
        <v>321</v>
      </c>
    </row>
    <row r="168" spans="2:13" ht="13.5" customHeight="1">
      <c r="B168" s="25" t="s">
        <v>269</v>
      </c>
      <c r="C168" s="200" t="s">
        <v>270</v>
      </c>
      <c r="E168" s="187">
        <f>'Control Panel'!D156</f>
        <v>0</v>
      </c>
      <c r="F168" s="187">
        <f>'Control Panel'!E156</f>
        <v>0</v>
      </c>
      <c r="G168" s="187">
        <f>'Control Panel'!F156</f>
        <v>0</v>
      </c>
      <c r="I168" s="60">
        <f>INDEX(E168:G168,$J$8)</f>
        <v>0</v>
      </c>
      <c r="K168" s="23" t="s">
        <v>424</v>
      </c>
      <c r="M168" s="15" t="s">
        <v>321</v>
      </c>
    </row>
    <row r="169" spans="2:13" ht="13.5" customHeight="1">
      <c r="B169" s="14" t="s">
        <v>272</v>
      </c>
      <c r="C169" s="199"/>
      <c r="D169" s="40"/>
      <c r="E169" s="40"/>
      <c r="F169" s="40"/>
      <c r="G169" s="40"/>
      <c r="H169" s="40"/>
      <c r="I169" s="40"/>
      <c r="J169" s="40"/>
      <c r="K169" s="40"/>
      <c r="L169" s="40"/>
      <c r="M169" s="40"/>
    </row>
    <row r="170" spans="2:13" ht="13.5" customHeight="1">
      <c r="B170" s="25" t="s">
        <v>425</v>
      </c>
      <c r="C170" s="201" t="s">
        <v>274</v>
      </c>
      <c r="E170" s="342">
        <f>'Control Panel'!D160</f>
        <v>15</v>
      </c>
      <c r="F170" s="342">
        <f>'Control Panel'!E160</f>
        <v>15</v>
      </c>
      <c r="G170" s="342">
        <f>'Control Panel'!F160</f>
        <v>15</v>
      </c>
      <c r="I170" s="62">
        <f>INDEX(E170:G170,$J$8)</f>
        <v>15</v>
      </c>
      <c r="M170" s="15" t="s">
        <v>321</v>
      </c>
    </row>
    <row r="171" spans="2:13" ht="13.5" customHeight="1">
      <c r="B171" s="25" t="s">
        <v>426</v>
      </c>
      <c r="C171" s="201" t="s">
        <v>274</v>
      </c>
      <c r="E171" s="342">
        <f>'Control Panel'!D161</f>
        <v>20</v>
      </c>
      <c r="F171" s="342">
        <f>'Control Panel'!E161</f>
        <v>20</v>
      </c>
      <c r="G171" s="342">
        <f>'Control Panel'!F161</f>
        <v>20</v>
      </c>
      <c r="I171" s="62">
        <f>INDEX(E171:G171,$J$8)</f>
        <v>20</v>
      </c>
      <c r="M171" s="15" t="s">
        <v>321</v>
      </c>
    </row>
    <row r="172" spans="2:13" ht="13.5" customHeight="1">
      <c r="B172" s="25"/>
      <c r="C172" s="201"/>
      <c r="E172" s="342"/>
      <c r="F172" s="342"/>
      <c r="G172" s="342"/>
      <c r="I172" s="9"/>
      <c r="M172" s="15"/>
    </row>
    <row r="173" spans="2:13" ht="13.5" customHeight="1">
      <c r="B173" s="25"/>
      <c r="C173" s="201"/>
      <c r="E173" s="342"/>
      <c r="F173" s="342"/>
      <c r="G173" s="342"/>
      <c r="I173" s="9"/>
      <c r="M173" s="15"/>
    </row>
    <row r="174" spans="2:13" ht="13.5" customHeight="1">
      <c r="B174" s="25" t="s">
        <v>278</v>
      </c>
      <c r="C174" s="201" t="s">
        <v>274</v>
      </c>
      <c r="E174" s="342">
        <f>'Control Panel'!D162</f>
        <v>25</v>
      </c>
      <c r="F174" s="342">
        <f>'Control Panel'!E162</f>
        <v>25</v>
      </c>
      <c r="G174" s="342">
        <f>'Control Panel'!F162</f>
        <v>25</v>
      </c>
      <c r="I174" s="62">
        <f>INDEX(E174:G174,$J$8)</f>
        <v>25</v>
      </c>
      <c r="M174" s="15" t="s">
        <v>321</v>
      </c>
    </row>
    <row r="175" spans="2:13" ht="13.5" customHeight="1">
      <c r="B175" s="25"/>
      <c r="C175" s="201"/>
      <c r="E175" s="342"/>
      <c r="F175" s="342"/>
      <c r="G175" s="342"/>
      <c r="I175" s="9"/>
      <c r="M175" s="15"/>
    </row>
    <row r="176" spans="2:13" ht="13.5" customHeight="1">
      <c r="B176" s="25" t="s">
        <v>427</v>
      </c>
      <c r="C176" s="201" t="s">
        <v>274</v>
      </c>
      <c r="E176" s="342">
        <f>'Control Panel'!D163</f>
        <v>40</v>
      </c>
      <c r="F176" s="342">
        <f>'Control Panel'!E163</f>
        <v>40</v>
      </c>
      <c r="G176" s="342">
        <f>'Control Panel'!F163</f>
        <v>40</v>
      </c>
      <c r="I176" s="62">
        <f>INDEX(E176:G176,$J$8)</f>
        <v>40</v>
      </c>
      <c r="M176" s="15" t="s">
        <v>321</v>
      </c>
    </row>
    <row r="177" spans="2:13" ht="13.5" customHeight="1">
      <c r="B177" s="25"/>
      <c r="C177" s="201"/>
      <c r="E177" s="342"/>
      <c r="F177" s="342"/>
      <c r="G177" s="342"/>
      <c r="I177" s="9"/>
      <c r="M177" s="15"/>
    </row>
    <row r="178" spans="2:13" ht="13.5" customHeight="1">
      <c r="B178" s="25"/>
      <c r="C178" s="201"/>
      <c r="E178" s="342"/>
      <c r="F178" s="342"/>
      <c r="G178" s="342"/>
      <c r="I178" s="9"/>
      <c r="M178" s="15"/>
    </row>
    <row r="179" spans="2:13" ht="13.5" customHeight="1">
      <c r="B179" s="25"/>
      <c r="C179" s="201"/>
      <c r="E179" s="342"/>
      <c r="F179" s="342"/>
      <c r="G179" s="342"/>
      <c r="I179" s="9"/>
      <c r="M179" s="15"/>
    </row>
    <row r="180" spans="2:13" ht="13.5" customHeight="1">
      <c r="B180" s="25"/>
      <c r="C180" s="201"/>
      <c r="E180" s="342"/>
      <c r="F180" s="342"/>
      <c r="G180" s="342"/>
      <c r="I180" s="9"/>
      <c r="M180" s="15"/>
    </row>
    <row r="181" spans="2:13" ht="13.5" customHeight="1">
      <c r="B181" s="25" t="s">
        <v>428</v>
      </c>
      <c r="C181" s="201" t="s">
        <v>274</v>
      </c>
      <c r="E181" s="342">
        <f>'Control Panel'!D164</f>
        <v>25</v>
      </c>
      <c r="F181" s="342">
        <f>'Control Panel'!E164</f>
        <v>25</v>
      </c>
      <c r="G181" s="342">
        <f>'Control Panel'!F164</f>
        <v>25</v>
      </c>
      <c r="I181" s="62">
        <f>INDEX(E181:G181,$J$8)</f>
        <v>25</v>
      </c>
      <c r="M181" s="15" t="s">
        <v>321</v>
      </c>
    </row>
    <row r="182" spans="2:13" ht="13.5" customHeight="1">
      <c r="M182" s="15"/>
    </row>
    <row r="183" spans="2:13" ht="13.5" customHeight="1">
      <c r="B183" s="87" t="s">
        <v>295</v>
      </c>
      <c r="C183" s="199"/>
      <c r="D183" s="40"/>
      <c r="E183" s="40"/>
      <c r="F183" s="40"/>
      <c r="G183" s="40"/>
      <c r="H183" s="40"/>
      <c r="I183" s="40"/>
      <c r="J183" s="40"/>
      <c r="K183" s="40"/>
      <c r="L183" s="40"/>
      <c r="M183" s="341"/>
    </row>
    <row r="184" spans="2:13" ht="13.5" customHeight="1">
      <c r="B184" s="88" t="s">
        <v>296</v>
      </c>
      <c r="C184" s="202" t="s">
        <v>297</v>
      </c>
      <c r="E184" s="343">
        <f>'Control Panel'!D175</f>
        <v>30</v>
      </c>
      <c r="F184" s="343">
        <f>'Control Panel'!E175</f>
        <v>30</v>
      </c>
      <c r="G184" s="343">
        <f>'Control Panel'!F175</f>
        <v>30</v>
      </c>
      <c r="I184" s="300">
        <f>INDEX(E184:G184,$J$8)</f>
        <v>30</v>
      </c>
      <c r="M184" s="15" t="s">
        <v>321</v>
      </c>
    </row>
    <row r="185" spans="2:13" ht="13.5" customHeight="1">
      <c r="B185" s="88" t="s">
        <v>299</v>
      </c>
      <c r="C185" s="202" t="s">
        <v>297</v>
      </c>
      <c r="E185" s="343">
        <f>'Control Panel'!D176</f>
        <v>30</v>
      </c>
      <c r="F185" s="343">
        <f>'Control Panel'!E176</f>
        <v>30</v>
      </c>
      <c r="G185" s="343">
        <f>'Control Panel'!F176</f>
        <v>30</v>
      </c>
      <c r="I185" s="300">
        <f>INDEX(E185:G185,$J$8)</f>
        <v>30</v>
      </c>
      <c r="M185" s="15" t="s">
        <v>321</v>
      </c>
    </row>
    <row r="186" spans="2:13" ht="13.5" customHeight="1">
      <c r="B186" s="88" t="s">
        <v>301</v>
      </c>
      <c r="C186" s="202" t="s">
        <v>201</v>
      </c>
      <c r="E186" s="344">
        <f>'Control Panel'!D177</f>
        <v>0.2</v>
      </c>
      <c r="F186" s="344">
        <f>'Control Panel'!E177</f>
        <v>0.2</v>
      </c>
      <c r="G186" s="344">
        <f>'Control Panel'!F177</f>
        <v>0.2</v>
      </c>
      <c r="I186" s="315">
        <f>INDEX(E186:G186,$J$8)</f>
        <v>0.2</v>
      </c>
      <c r="M186" s="15" t="s">
        <v>321</v>
      </c>
    </row>
    <row r="187" spans="2:13" ht="13.5" customHeight="1">
      <c r="B187" s="88" t="s">
        <v>303</v>
      </c>
      <c r="C187" s="202" t="s">
        <v>54</v>
      </c>
      <c r="E187" s="345" t="str">
        <f>'Control Panel'!D178</f>
        <v>Yes</v>
      </c>
      <c r="F187" s="345" t="str">
        <f>'Control Panel'!E178</f>
        <v>Yes</v>
      </c>
      <c r="G187" s="345" t="str">
        <f>'Control Panel'!F178</f>
        <v>Yes</v>
      </c>
      <c r="I187" s="309" t="str">
        <f>INDEX(E187:G187,$J$8)</f>
        <v>Yes</v>
      </c>
      <c r="M187" s="15" t="s">
        <v>321</v>
      </c>
    </row>
    <row r="188" spans="2:13" ht="13.5" customHeight="1"/>
    <row r="189" spans="2:13" ht="13.5" customHeight="1">
      <c r="B189" s="1" t="s">
        <v>285</v>
      </c>
      <c r="C189" s="202" t="s">
        <v>71</v>
      </c>
      <c r="I189" s="300">
        <f>'Control Panel'!G169</f>
        <v>14</v>
      </c>
    </row>
    <row r="190" spans="2:13" ht="13.5" customHeight="1">
      <c r="B190" s="1" t="s">
        <v>287</v>
      </c>
      <c r="C190" s="202" t="s">
        <v>288</v>
      </c>
      <c r="I190" s="300">
        <f>'Control Panel'!G170</f>
        <v>15</v>
      </c>
    </row>
    <row r="191" spans="2:13" ht="13.5" customHeight="1">
      <c r="B191" s="1" t="s">
        <v>290</v>
      </c>
      <c r="C191" s="202" t="s">
        <v>291</v>
      </c>
      <c r="I191" s="300">
        <f>'Control Panel'!G171</f>
        <v>0</v>
      </c>
    </row>
    <row r="192" spans="2:13" ht="13.5" customHeight="1">
      <c r="B192" s="1" t="s">
        <v>429</v>
      </c>
      <c r="C192" s="202" t="s">
        <v>297</v>
      </c>
      <c r="I192" s="309">
        <v>30.4</v>
      </c>
    </row>
    <row r="193" spans="2:9" ht="13.5" customHeight="1">
      <c r="B193" s="1" t="s">
        <v>293</v>
      </c>
      <c r="C193" s="202" t="s">
        <v>430</v>
      </c>
      <c r="E193" s="343">
        <f>'Control Panel'!D172</f>
        <v>4</v>
      </c>
      <c r="F193" s="343">
        <f>'Control Panel'!E172</f>
        <v>0</v>
      </c>
      <c r="G193" s="343">
        <f>'Control Panel'!F172</f>
        <v>0</v>
      </c>
      <c r="I193" s="300" cm="1">
        <f t="array" ref="I193">INDEX(E193:G193,$J$8)</f>
        <v>4</v>
      </c>
    </row>
    <row r="194" spans="2:9" ht="13.5" customHeight="1"/>
    <row r="195" spans="2:9" ht="13.5" customHeight="1"/>
    <row r="196" spans="2:9" ht="13.5" customHeight="1"/>
    <row r="197" spans="2:9" ht="13.5" customHeight="1"/>
    <row r="198" spans="2:9" ht="13.5" customHeight="1"/>
    <row r="199" spans="2:9" ht="13.5" customHeight="1"/>
  </sheetData>
  <sheetProtection algorithmName="SHA-512" hashValue="zozB10niQiTy7C/7yfCz5tp4LHn7TUtbCQQoe/RoRgV0biXSo0LeGCyT6YoYO58wTLiKMAP5DkPJsODZRN0xJg==" saltValue="gOCiMWZOQANkK3vGrR7LPw==" spinCount="100000" sheet="1" objects="1" scenarios="1"/>
  <mergeCells count="1">
    <mergeCell ref="E1:F1"/>
  </mergeCells>
  <hyperlinks>
    <hyperlink ref="M48" r:id="rId1" xr:uid="{00000000-0004-0000-0100-000000000000}"/>
    <hyperlink ref="M50" r:id="rId2" xr:uid="{00000000-0004-0000-0100-000001000000}"/>
    <hyperlink ref="M57" r:id="rId3" xr:uid="{00000000-0004-0000-0100-000002000000}"/>
    <hyperlink ref="M63" r:id="rId4" xr:uid="{00000000-0004-0000-0100-000003000000}"/>
    <hyperlink ref="M110" r:id="rId5" xr:uid="{00000000-0004-0000-0100-000004000000}"/>
  </hyperlinks>
  <pageMargins left="0.75" right="0.75" top="1" bottom="1" header="0.511811023622047" footer="0.511811023622047"/>
  <pageSetup paperSize="9" orientation="portrait" horizontalDpi="300" verticalDpi="300"/>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1:M199"/>
  <sheetViews>
    <sheetView showGridLines="0" zoomScale="70" zoomScaleNormal="70" workbookViewId="0">
      <pane xSplit="2" ySplit="6" topLeftCell="C7" activePane="bottomRight" state="frozen"/>
      <selection pane="bottomRight" activeCell="D22" sqref="D22"/>
      <selection pane="bottomLeft" activeCell="A7" sqref="A7"/>
      <selection pane="topRight" activeCell="C1" sqref="C1"/>
    </sheetView>
  </sheetViews>
  <sheetFormatPr defaultColWidth="8.7109375" defaultRowHeight="13.15"/>
  <cols>
    <col min="1" max="1" width="2.85546875" style="1" customWidth="1"/>
    <col min="2" max="2" width="3.42578125" style="1" customWidth="1"/>
    <col min="3" max="3" width="50" style="1" customWidth="1"/>
    <col min="4" max="4" width="28" style="1" customWidth="1"/>
    <col min="5" max="5" width="14" style="1" customWidth="1"/>
    <col min="6" max="6" width="12" style="1" customWidth="1"/>
    <col min="7" max="7" width="14" style="1" customWidth="1"/>
    <col min="8" max="8" width="28" style="1" customWidth="1"/>
    <col min="9" max="9" width="3" style="1" customWidth="1"/>
    <col min="10" max="10" width="8.7109375" style="15" customWidth="1"/>
    <col min="11" max="11" width="10" style="1" customWidth="1"/>
    <col min="12" max="12" width="12" style="1" customWidth="1"/>
    <col min="13" max="13" width="0.85546875" style="2" customWidth="1"/>
    <col min="14" max="15" width="8.7109375" style="1" customWidth="1"/>
    <col min="16" max="16384" width="8.7109375" style="1"/>
  </cols>
  <sheetData>
    <row r="1" spans="2:13" ht="13.5" customHeight="1">
      <c r="M1" s="3"/>
    </row>
    <row r="2" spans="2:13" ht="13.5" customHeight="1"/>
    <row r="3" spans="2:13" ht="13.5" customHeight="1"/>
    <row r="4" spans="2:13" ht="13.5" customHeight="1">
      <c r="B4" s="16">
        <f>MAX($A$1:B3)+1</f>
        <v>1</v>
      </c>
      <c r="C4" s="14" t="s">
        <v>431</v>
      </c>
      <c r="D4" s="4"/>
      <c r="E4" s="4"/>
      <c r="F4" s="4"/>
      <c r="G4" s="4"/>
      <c r="H4" s="4"/>
      <c r="I4" s="4"/>
      <c r="J4" s="17"/>
      <c r="K4" s="4"/>
      <c r="L4" s="4"/>
    </row>
    <row r="5" spans="2:13" ht="13.5" customHeight="1"/>
    <row r="6" spans="2:13" ht="13.5" customHeight="1">
      <c r="C6" s="18" t="s">
        <v>432</v>
      </c>
      <c r="D6" s="18" t="s">
        <v>433</v>
      </c>
      <c r="E6" s="15"/>
      <c r="F6" s="18" t="s">
        <v>309</v>
      </c>
      <c r="G6" s="15"/>
      <c r="H6" s="18" t="s">
        <v>222</v>
      </c>
      <c r="I6" s="15"/>
      <c r="K6" s="18" t="s">
        <v>434</v>
      </c>
      <c r="L6" s="18" t="s">
        <v>435</v>
      </c>
    </row>
    <row r="7" spans="2:13" ht="13.5" customHeight="1"/>
    <row r="8" spans="2:13" ht="13.5" customHeight="1">
      <c r="C8" s="19" t="s">
        <v>436</v>
      </c>
      <c r="D8" s="19" t="s">
        <v>37</v>
      </c>
      <c r="F8" s="20" t="s">
        <v>229</v>
      </c>
      <c r="H8" s="19" t="s">
        <v>437</v>
      </c>
      <c r="K8" s="21" t="s">
        <v>58</v>
      </c>
      <c r="L8" s="22" t="s">
        <v>34</v>
      </c>
    </row>
    <row r="9" spans="2:13" ht="13.5" customHeight="1">
      <c r="C9" s="19" t="s">
        <v>438</v>
      </c>
      <c r="D9" s="19" t="s">
        <v>439</v>
      </c>
      <c r="F9" s="20" t="s">
        <v>440</v>
      </c>
      <c r="H9" s="19" t="s">
        <v>223</v>
      </c>
      <c r="K9" s="21" t="s">
        <v>55</v>
      </c>
      <c r="L9" s="22" t="s">
        <v>93</v>
      </c>
    </row>
    <row r="10" spans="2:13" ht="13.5" customHeight="1">
      <c r="C10" s="19" t="s">
        <v>441</v>
      </c>
      <c r="D10" s="19" t="s">
        <v>442</v>
      </c>
      <c r="F10" s="20" t="s">
        <v>443</v>
      </c>
      <c r="H10" s="19" t="s">
        <v>444</v>
      </c>
      <c r="L10" s="22" t="s">
        <v>94</v>
      </c>
    </row>
    <row r="11" spans="2:13" ht="13.5" customHeight="1">
      <c r="F11" s="20" t="s">
        <v>445</v>
      </c>
    </row>
    <row r="12" spans="2:13" ht="13.5" customHeight="1">
      <c r="F12" s="20" t="s">
        <v>446</v>
      </c>
    </row>
    <row r="13" spans="2:13" ht="13.5" customHeight="1">
      <c r="F13" s="20" t="s">
        <v>447</v>
      </c>
    </row>
    <row r="14" spans="2:13" ht="13.5" customHeight="1">
      <c r="F14" s="20" t="s">
        <v>448</v>
      </c>
    </row>
    <row r="15" spans="2:13" ht="13.5" customHeight="1"/>
    <row r="16" spans="2:13" ht="13.5" customHeight="1"/>
    <row r="17" spans="2:12" ht="13.5" customHeight="1">
      <c r="B17" s="16">
        <f>MAX($A$1:B16)+1</f>
        <v>2</v>
      </c>
      <c r="C17" s="14" t="s">
        <v>449</v>
      </c>
      <c r="D17" s="4"/>
      <c r="E17" s="4"/>
      <c r="F17" s="4"/>
      <c r="G17" s="4"/>
      <c r="H17" s="4"/>
      <c r="I17" s="4"/>
      <c r="J17" s="17"/>
      <c r="K17" s="4"/>
      <c r="L17" s="4"/>
    </row>
    <row r="18" spans="2:12" ht="13.5" customHeight="1">
      <c r="C18" s="23"/>
    </row>
    <row r="19" spans="2:12" ht="13.5" customHeight="1">
      <c r="C19" s="24" t="s">
        <v>450</v>
      </c>
      <c r="D19" s="18" t="s">
        <v>26</v>
      </c>
      <c r="E19" s="18" t="s">
        <v>451</v>
      </c>
      <c r="F19" s="18" t="s">
        <v>452</v>
      </c>
      <c r="G19" s="18" t="s">
        <v>453</v>
      </c>
      <c r="H19" s="24" t="s">
        <v>454</v>
      </c>
      <c r="I19" s="24"/>
      <c r="J19" s="24" t="s">
        <v>455</v>
      </c>
      <c r="K19" s="24" t="s">
        <v>456</v>
      </c>
      <c r="L19" s="24" t="s">
        <v>457</v>
      </c>
    </row>
    <row r="20" spans="2:12" ht="13.5" customHeight="1">
      <c r="C20" s="25" t="s">
        <v>458</v>
      </c>
      <c r="D20" s="7" t="s">
        <v>109</v>
      </c>
      <c r="E20" s="26">
        <v>38</v>
      </c>
      <c r="F20" s="26">
        <v>75</v>
      </c>
      <c r="G20" s="26">
        <v>18</v>
      </c>
      <c r="H20" s="13" t="s">
        <v>459</v>
      </c>
      <c r="J20" s="27" t="s">
        <v>460</v>
      </c>
    </row>
    <row r="21" spans="2:12" ht="13.5" customHeight="1">
      <c r="C21" s="25" t="s">
        <v>461</v>
      </c>
      <c r="D21" s="7" t="s">
        <v>341</v>
      </c>
      <c r="E21" s="26">
        <v>43</v>
      </c>
      <c r="F21" s="26">
        <v>150</v>
      </c>
      <c r="G21" s="26">
        <v>120</v>
      </c>
      <c r="H21" s="13" t="s">
        <v>459</v>
      </c>
      <c r="J21" s="27" t="s">
        <v>460</v>
      </c>
    </row>
    <row r="22" spans="2:12" ht="13.5" customHeight="1">
      <c r="C22" s="25" t="s">
        <v>344</v>
      </c>
      <c r="D22" s="7" t="s">
        <v>109</v>
      </c>
      <c r="E22" s="26">
        <v>30</v>
      </c>
      <c r="F22" s="26">
        <v>65</v>
      </c>
      <c r="G22" s="26">
        <v>10</v>
      </c>
      <c r="H22" s="13" t="s">
        <v>459</v>
      </c>
      <c r="J22" s="27" t="s">
        <v>460</v>
      </c>
    </row>
    <row r="23" spans="2:12" ht="13.5" customHeight="1">
      <c r="C23" s="25" t="s">
        <v>346</v>
      </c>
      <c r="D23" s="7" t="s">
        <v>115</v>
      </c>
      <c r="E23" s="28">
        <v>0.95</v>
      </c>
      <c r="F23" s="28">
        <v>0.9</v>
      </c>
      <c r="G23" s="28">
        <v>0.95</v>
      </c>
      <c r="H23" s="13" t="s">
        <v>459</v>
      </c>
      <c r="J23" s="27" t="s">
        <v>460</v>
      </c>
    </row>
    <row r="24" spans="2:12" ht="13.5" customHeight="1">
      <c r="C24" s="25" t="s">
        <v>349</v>
      </c>
      <c r="D24" s="7" t="s">
        <v>462</v>
      </c>
      <c r="E24" s="26">
        <v>60</v>
      </c>
      <c r="F24" s="26">
        <v>120</v>
      </c>
      <c r="G24" s="26">
        <v>180</v>
      </c>
      <c r="H24" s="13" t="s">
        <v>459</v>
      </c>
      <c r="J24" s="27" t="s">
        <v>460</v>
      </c>
      <c r="K24" s="29" t="s">
        <v>463</v>
      </c>
      <c r="L24" s="29" t="s">
        <v>464</v>
      </c>
    </row>
    <row r="25" spans="2:12" ht="13.5" customHeight="1">
      <c r="C25" s="25" t="s">
        <v>351</v>
      </c>
      <c r="D25" s="7" t="s">
        <v>109</v>
      </c>
      <c r="E25" s="26">
        <v>3</v>
      </c>
      <c r="F25" s="26">
        <v>4</v>
      </c>
      <c r="G25" s="26">
        <v>6</v>
      </c>
      <c r="H25" s="13" t="s">
        <v>459</v>
      </c>
      <c r="J25" s="27" t="s">
        <v>460</v>
      </c>
      <c r="K25" s="29" t="s">
        <v>463</v>
      </c>
      <c r="L25" s="29" t="s">
        <v>464</v>
      </c>
    </row>
    <row r="26" spans="2:12" ht="13.5" customHeight="1">
      <c r="C26" s="25" t="s">
        <v>465</v>
      </c>
      <c r="D26" s="7" t="s">
        <v>54</v>
      </c>
      <c r="E26" s="26" t="s">
        <v>55</v>
      </c>
      <c r="F26" s="26" t="s">
        <v>55</v>
      </c>
      <c r="G26" s="26" t="s">
        <v>58</v>
      </c>
      <c r="H26" s="13" t="s">
        <v>466</v>
      </c>
    </row>
    <row r="27" spans="2:12" ht="13.5" customHeight="1">
      <c r="C27" s="25" t="s">
        <v>393</v>
      </c>
      <c r="D27" s="7" t="s">
        <v>201</v>
      </c>
      <c r="E27" s="30">
        <v>5.0000000000000001E-3</v>
      </c>
      <c r="F27" s="28">
        <v>0.02</v>
      </c>
      <c r="G27" s="30">
        <v>3.5000000000000003E-2</v>
      </c>
      <c r="H27" s="13" t="s">
        <v>467</v>
      </c>
    </row>
    <row r="28" spans="2:12" ht="13.5" customHeight="1">
      <c r="C28" s="25" t="s">
        <v>468</v>
      </c>
      <c r="D28" s="7" t="s">
        <v>54</v>
      </c>
      <c r="E28" s="26" t="s">
        <v>55</v>
      </c>
      <c r="F28" s="26" t="s">
        <v>58</v>
      </c>
      <c r="G28" s="26" t="s">
        <v>55</v>
      </c>
      <c r="H28" s="13" t="s">
        <v>469</v>
      </c>
    </row>
    <row r="29" spans="2:12" ht="13.5" customHeight="1">
      <c r="C29" s="25" t="s">
        <v>470</v>
      </c>
      <c r="D29" s="7" t="s">
        <v>54</v>
      </c>
      <c r="E29" s="26" t="s">
        <v>55</v>
      </c>
      <c r="F29" s="26" t="s">
        <v>58</v>
      </c>
      <c r="G29" s="26" t="s">
        <v>380</v>
      </c>
      <c r="H29" s="13" t="s">
        <v>471</v>
      </c>
    </row>
    <row r="30" spans="2:12" ht="13.5" customHeight="1">
      <c r="C30" s="25" t="s">
        <v>472</v>
      </c>
      <c r="D30" s="7" t="s">
        <v>473</v>
      </c>
      <c r="E30" s="26" t="s">
        <v>474</v>
      </c>
      <c r="F30" s="26" t="s">
        <v>475</v>
      </c>
      <c r="G30" s="26" t="s">
        <v>475</v>
      </c>
      <c r="H30" s="13"/>
    </row>
    <row r="31" spans="2:12" ht="13.5" customHeight="1"/>
    <row r="32" spans="2:12" ht="13.5" customHeight="1"/>
    <row r="33" spans="3:3" ht="13.5" customHeight="1"/>
    <row r="34" spans="3:3" ht="13.5" customHeight="1">
      <c r="C34" s="31" t="s">
        <v>476</v>
      </c>
    </row>
    <row r="35" spans="3:3" ht="13.5" customHeight="1"/>
    <row r="36" spans="3:3" ht="13.5" customHeight="1"/>
    <row r="37" spans="3:3" ht="13.5" customHeight="1"/>
    <row r="38" spans="3:3" ht="13.5" customHeight="1"/>
    <row r="39" spans="3:3" ht="13.5" customHeight="1"/>
    <row r="40" spans="3:3" ht="13.5" customHeight="1"/>
    <row r="41" spans="3:3" ht="13.5" customHeight="1"/>
    <row r="42" spans="3:3" ht="13.5" customHeight="1"/>
    <row r="43" spans="3:3" ht="13.5" customHeight="1"/>
    <row r="44" spans="3:3" ht="13.5" customHeight="1"/>
    <row r="45" spans="3:3" ht="13.5" customHeight="1"/>
    <row r="46" spans="3:3" ht="13.5" customHeight="1"/>
    <row r="47" spans="3:3" ht="13.5" customHeight="1"/>
    <row r="48" spans="3:3" ht="13.5" customHeight="1"/>
    <row r="49" spans="2:12" ht="13.5" customHeight="1"/>
    <row r="50" spans="2:12" ht="13.5" customHeight="1"/>
    <row r="51" spans="2:12" ht="13.5" customHeight="1"/>
    <row r="52" spans="2:12" ht="13.5" customHeight="1"/>
    <row r="53" spans="2:12" ht="13.5" customHeight="1"/>
    <row r="54" spans="2:12" ht="13.5" customHeight="1"/>
    <row r="55" spans="2:12" ht="13.5" customHeight="1"/>
    <row r="56" spans="2:12" ht="13.5" customHeight="1">
      <c r="B56" s="16">
        <v>3</v>
      </c>
      <c r="C56" s="14" t="s">
        <v>477</v>
      </c>
      <c r="D56" s="14"/>
      <c r="E56" s="14"/>
      <c r="F56" s="14"/>
      <c r="G56" s="14"/>
      <c r="H56" s="14"/>
      <c r="I56" s="14"/>
      <c r="J56" s="14"/>
      <c r="K56" s="14"/>
      <c r="L56" s="14"/>
    </row>
    <row r="57" spans="2:12" ht="13.5" customHeight="1"/>
    <row r="58" spans="2:12" ht="13.5" customHeight="1">
      <c r="C58" s="14" t="s">
        <v>45</v>
      </c>
      <c r="D58" s="14" t="s">
        <v>309</v>
      </c>
    </row>
    <row r="59" spans="2:12" ht="13.5" customHeight="1">
      <c r="C59" s="387" t="s">
        <v>478</v>
      </c>
      <c r="D59" s="387" t="s">
        <v>229</v>
      </c>
    </row>
    <row r="60" spans="2:12" ht="13.5" customHeight="1">
      <c r="C60" s="387" t="s">
        <v>479</v>
      </c>
      <c r="D60" s="387" t="s">
        <v>229</v>
      </c>
    </row>
    <row r="61" spans="2:12" ht="13.5" customHeight="1">
      <c r="C61" s="387" t="s">
        <v>480</v>
      </c>
      <c r="D61" s="387" t="s">
        <v>229</v>
      </c>
    </row>
    <row r="62" spans="2:12" ht="13.5" customHeight="1">
      <c r="C62" s="387" t="s">
        <v>481</v>
      </c>
      <c r="D62" s="387" t="s">
        <v>229</v>
      </c>
    </row>
    <row r="63" spans="2:12" ht="13.5" customHeight="1">
      <c r="C63" s="387" t="s">
        <v>482</v>
      </c>
      <c r="D63" s="387" t="s">
        <v>229</v>
      </c>
    </row>
    <row r="64" spans="2:12" ht="13.5" customHeight="1">
      <c r="C64" s="387" t="s">
        <v>483</v>
      </c>
      <c r="D64" s="387" t="s">
        <v>229</v>
      </c>
    </row>
    <row r="65" spans="3:4" ht="13.5" customHeight="1">
      <c r="C65" s="387" t="s">
        <v>484</v>
      </c>
      <c r="D65" s="387" t="s">
        <v>229</v>
      </c>
    </row>
    <row r="66" spans="3:4" ht="13.5" customHeight="1">
      <c r="C66" s="387" t="s">
        <v>485</v>
      </c>
      <c r="D66" s="387" t="s">
        <v>229</v>
      </c>
    </row>
    <row r="67" spans="3:4" ht="13.5" customHeight="1">
      <c r="C67" s="387" t="s">
        <v>486</v>
      </c>
      <c r="D67" s="387" t="s">
        <v>229</v>
      </c>
    </row>
    <row r="68" spans="3:4" ht="13.5" customHeight="1">
      <c r="C68" s="387" t="s">
        <v>487</v>
      </c>
      <c r="D68" s="387" t="s">
        <v>229</v>
      </c>
    </row>
    <row r="69" spans="3:4" ht="13.5" customHeight="1">
      <c r="C69" s="387" t="s">
        <v>488</v>
      </c>
      <c r="D69" s="387" t="s">
        <v>229</v>
      </c>
    </row>
    <row r="70" spans="3:4" ht="13.5" customHeight="1">
      <c r="C70" s="387" t="s">
        <v>489</v>
      </c>
      <c r="D70" s="387" t="s">
        <v>229</v>
      </c>
    </row>
    <row r="71" spans="3:4" ht="13.5" customHeight="1">
      <c r="C71" s="387" t="s">
        <v>490</v>
      </c>
      <c r="D71" s="387" t="s">
        <v>229</v>
      </c>
    </row>
    <row r="72" spans="3:4" ht="13.5" customHeight="1">
      <c r="C72" s="387" t="s">
        <v>491</v>
      </c>
      <c r="D72" s="387" t="s">
        <v>229</v>
      </c>
    </row>
    <row r="73" spans="3:4" ht="13.5" customHeight="1">
      <c r="C73" s="387" t="s">
        <v>492</v>
      </c>
      <c r="D73" s="387" t="s">
        <v>229</v>
      </c>
    </row>
    <row r="74" spans="3:4" ht="13.5" customHeight="1">
      <c r="C74" s="387" t="s">
        <v>493</v>
      </c>
      <c r="D74" s="387" t="s">
        <v>229</v>
      </c>
    </row>
    <row r="75" spans="3:4" ht="13.5" customHeight="1">
      <c r="C75" s="387" t="s">
        <v>494</v>
      </c>
      <c r="D75" s="387" t="s">
        <v>229</v>
      </c>
    </row>
    <row r="76" spans="3:4" ht="13.5" customHeight="1">
      <c r="C76" s="387" t="s">
        <v>495</v>
      </c>
      <c r="D76" s="387" t="s">
        <v>229</v>
      </c>
    </row>
    <row r="77" spans="3:4" ht="13.5" customHeight="1">
      <c r="C77" s="387" t="s">
        <v>496</v>
      </c>
      <c r="D77" s="387" t="s">
        <v>229</v>
      </c>
    </row>
    <row r="78" spans="3:4" ht="13.5" customHeight="1">
      <c r="C78" s="387" t="s">
        <v>497</v>
      </c>
      <c r="D78" s="387" t="s">
        <v>229</v>
      </c>
    </row>
    <row r="79" spans="3:4" ht="13.5" customHeight="1">
      <c r="C79" s="387" t="s">
        <v>498</v>
      </c>
      <c r="D79" s="387" t="s">
        <v>440</v>
      </c>
    </row>
    <row r="80" spans="3:4" ht="13.5" customHeight="1">
      <c r="C80" s="387" t="s">
        <v>46</v>
      </c>
      <c r="D80" s="387" t="s">
        <v>443</v>
      </c>
    </row>
    <row r="81" spans="3:4" ht="13.5" customHeight="1">
      <c r="C81" s="387" t="s">
        <v>499</v>
      </c>
      <c r="D81" s="387" t="s">
        <v>445</v>
      </c>
    </row>
    <row r="82" spans="3:4" ht="13.5" customHeight="1">
      <c r="C82" s="387" t="s">
        <v>500</v>
      </c>
      <c r="D82" s="387" t="s">
        <v>446</v>
      </c>
    </row>
    <row r="83" spans="3:4" ht="13.5" customHeight="1">
      <c r="C83" s="387" t="s">
        <v>501</v>
      </c>
      <c r="D83" s="387" t="s">
        <v>447</v>
      </c>
    </row>
    <row r="84" spans="3:4" ht="13.5" customHeight="1">
      <c r="C84" s="387" t="s">
        <v>502</v>
      </c>
      <c r="D84" s="387" t="s">
        <v>448</v>
      </c>
    </row>
    <row r="85" spans="3:4" ht="13.5" customHeight="1"/>
    <row r="86" spans="3:4" ht="13.5" customHeight="1"/>
    <row r="87" spans="3:4" ht="13.5" customHeight="1"/>
    <row r="88" spans="3:4" ht="13.5" customHeight="1"/>
    <row r="89" spans="3:4" ht="13.5" customHeight="1"/>
    <row r="90" spans="3:4" ht="13.5" customHeight="1"/>
    <row r="91" spans="3:4" ht="13.5" customHeight="1"/>
    <row r="92" spans="3:4" ht="13.5" customHeight="1"/>
    <row r="93" spans="3:4" ht="13.5" customHeight="1"/>
    <row r="94" spans="3:4" ht="13.5" customHeight="1"/>
    <row r="95" spans="3:4" ht="13.5" customHeight="1"/>
    <row r="96" spans="3:4"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sheetData>
  <hyperlinks>
    <hyperlink ref="J20" r:id="rId1" xr:uid="{00000000-0004-0000-0200-000000000000}"/>
    <hyperlink ref="J21" r:id="rId2" xr:uid="{00000000-0004-0000-0200-000001000000}"/>
    <hyperlink ref="J22" r:id="rId3" xr:uid="{00000000-0004-0000-0200-000002000000}"/>
    <hyperlink ref="J23" r:id="rId4" xr:uid="{00000000-0004-0000-0200-000003000000}"/>
    <hyperlink ref="J24" r:id="rId5" xr:uid="{00000000-0004-0000-0200-000004000000}"/>
    <hyperlink ref="K24" r:id="rId6" xr:uid="{00000000-0004-0000-0200-000005000000}"/>
    <hyperlink ref="L24" r:id="rId7" xr:uid="{00000000-0004-0000-0200-000006000000}"/>
    <hyperlink ref="J25" r:id="rId8" xr:uid="{00000000-0004-0000-0200-000007000000}"/>
    <hyperlink ref="K25" r:id="rId9" xr:uid="{00000000-0004-0000-0200-000008000000}"/>
    <hyperlink ref="L25" r:id="rId10" xr:uid="{00000000-0004-0000-0200-000009000000}"/>
  </hyperlinks>
  <pageMargins left="0.75" right="0.75" top="1" bottom="1" header="0.511811023622047" footer="0.511811023622047"/>
  <pageSetup paperSize="9" orientation="portrait" horizontalDpi="300" verticalDpi="300"/>
  <drawing r:id="rId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V199"/>
  <sheetViews>
    <sheetView showGridLines="0" zoomScale="70" zoomScaleNormal="70" workbookViewId="0">
      <pane xSplit="7" ySplit="6" topLeftCell="H22" activePane="bottomRight" state="frozen"/>
      <selection pane="bottomRight" activeCell="J42" sqref="J42"/>
      <selection pane="bottomLeft" activeCell="A7" sqref="A7"/>
      <selection pane="topRight" activeCell="H1" sqref="H1"/>
    </sheetView>
  </sheetViews>
  <sheetFormatPr defaultColWidth="8.7109375" defaultRowHeight="13.15"/>
  <cols>
    <col min="1" max="1" width="2.85546875" style="1" customWidth="1"/>
    <col min="2" max="2" width="3.42578125" style="1" customWidth="1"/>
    <col min="3" max="3" width="10.85546875" style="1" customWidth="1"/>
    <col min="4" max="4" width="13" style="1" customWidth="1"/>
    <col min="5" max="5" width="38" style="1" customWidth="1"/>
    <col min="6" max="6" width="11.42578125" style="1" customWidth="1"/>
    <col min="7" max="7" width="11.85546875" style="1" customWidth="1"/>
    <col min="8" max="8" width="6.140625" style="1" customWidth="1"/>
    <col min="9" max="19" width="8.42578125" style="1" customWidth="1"/>
    <col min="20" max="20" width="11" style="1" customWidth="1"/>
    <col min="21" max="21" width="9" style="1" customWidth="1"/>
    <col min="22" max="22" width="0.85546875" style="2" customWidth="1"/>
    <col min="23" max="24" width="8.7109375" style="1" customWidth="1"/>
    <col min="25" max="16384" width="8.7109375" style="1"/>
  </cols>
  <sheetData>
    <row r="1" spans="2:22" ht="22.9" customHeight="1">
      <c r="C1" s="318"/>
      <c r="D1"/>
      <c r="V1" s="3"/>
    </row>
    <row r="2" spans="2:22" ht="13.5" customHeight="1">
      <c r="C2" s="88"/>
      <c r="D2" s="317"/>
    </row>
    <row r="3" spans="2:22" ht="13.5" customHeight="1"/>
    <row r="4" spans="2:22" ht="13.5" customHeight="1">
      <c r="B4" s="16">
        <f>MAX($A$1:B3)+1</f>
        <v>1</v>
      </c>
      <c r="C4" s="14" t="s">
        <v>503</v>
      </c>
      <c r="D4" s="4"/>
      <c r="E4" s="4"/>
      <c r="F4" s="4"/>
      <c r="G4" s="4"/>
      <c r="H4" s="4"/>
      <c r="I4" s="4"/>
      <c r="J4" s="4"/>
      <c r="K4" s="4"/>
      <c r="L4" s="4"/>
      <c r="M4" s="4"/>
      <c r="N4" s="4"/>
      <c r="O4" s="4"/>
      <c r="P4" s="4"/>
      <c r="Q4" s="4"/>
      <c r="R4" s="4"/>
      <c r="S4" s="4"/>
      <c r="T4" s="4"/>
      <c r="U4" s="4"/>
    </row>
    <row r="5" spans="2:22" ht="13.5" customHeight="1"/>
    <row r="6" spans="2:22" ht="13.5" customHeight="1">
      <c r="E6" s="24" t="s">
        <v>334</v>
      </c>
      <c r="F6" s="24" t="s">
        <v>26</v>
      </c>
      <c r="H6" s="10" t="s">
        <v>504</v>
      </c>
      <c r="I6" s="10" t="s">
        <v>505</v>
      </c>
      <c r="J6" s="10" t="s">
        <v>506</v>
      </c>
      <c r="K6" s="10" t="s">
        <v>507</v>
      </c>
      <c r="L6" s="10" t="s">
        <v>508</v>
      </c>
      <c r="M6" s="10" t="s">
        <v>509</v>
      </c>
      <c r="N6" s="10" t="s">
        <v>510</v>
      </c>
      <c r="O6" s="10" t="s">
        <v>511</v>
      </c>
      <c r="P6" s="10" t="s">
        <v>512</v>
      </c>
      <c r="Q6" s="10" t="s">
        <v>513</v>
      </c>
      <c r="R6" s="10" t="s">
        <v>514</v>
      </c>
      <c r="S6" s="10" t="s">
        <v>515</v>
      </c>
      <c r="T6" s="10" t="s">
        <v>516</v>
      </c>
      <c r="U6" s="10" t="s">
        <v>66</v>
      </c>
    </row>
    <row r="7" spans="2:22" ht="13.5" customHeight="1">
      <c r="E7" s="25" t="s">
        <v>517</v>
      </c>
      <c r="F7" s="42" t="s">
        <v>115</v>
      </c>
      <c r="H7" s="210">
        <v>0.18</v>
      </c>
      <c r="I7" s="210">
        <v>0.15</v>
      </c>
      <c r="J7" s="210">
        <v>0.12</v>
      </c>
      <c r="K7" s="210">
        <v>0.06</v>
      </c>
      <c r="L7" s="210">
        <v>0.02</v>
      </c>
      <c r="M7" s="210">
        <v>0.01</v>
      </c>
      <c r="N7" s="210">
        <v>0.01</v>
      </c>
      <c r="O7" s="210">
        <v>0.01</v>
      </c>
      <c r="P7" s="210">
        <v>0.03</v>
      </c>
      <c r="Q7" s="210">
        <v>0.08</v>
      </c>
      <c r="R7" s="210">
        <v>0.14000000000000001</v>
      </c>
      <c r="S7" s="210">
        <v>0.19</v>
      </c>
      <c r="T7" s="211">
        <f>SUM(H7:S7)</f>
        <v>1</v>
      </c>
      <c r="U7" s="212" t="str">
        <f>IF(ABS(T7-1)&lt;0.005,"OK","FIX")</f>
        <v>OK</v>
      </c>
      <c r="V7" s="6"/>
    </row>
    <row r="8" spans="2:22" ht="13.5" customHeight="1">
      <c r="E8" s="25" t="s">
        <v>518</v>
      </c>
      <c r="F8" s="42" t="s">
        <v>115</v>
      </c>
      <c r="H8" s="210">
        <v>8.3000000000000004E-2</v>
      </c>
      <c r="I8" s="210">
        <v>8.3000000000000004E-2</v>
      </c>
      <c r="J8" s="210">
        <v>8.3000000000000004E-2</v>
      </c>
      <c r="K8" s="210">
        <v>8.3000000000000004E-2</v>
      </c>
      <c r="L8" s="210">
        <v>8.3000000000000004E-2</v>
      </c>
      <c r="M8" s="210">
        <v>8.3000000000000004E-2</v>
      </c>
      <c r="N8" s="210">
        <v>8.3000000000000004E-2</v>
      </c>
      <c r="O8" s="210">
        <v>8.3000000000000004E-2</v>
      </c>
      <c r="P8" s="210">
        <v>8.3000000000000004E-2</v>
      </c>
      <c r="Q8" s="210">
        <v>8.3000000000000004E-2</v>
      </c>
      <c r="R8" s="210">
        <v>8.3000000000000004E-2</v>
      </c>
      <c r="S8" s="210">
        <v>8.6999999999999994E-2</v>
      </c>
      <c r="T8" s="211">
        <f>SUM(H8:S8)</f>
        <v>0.99999999999999989</v>
      </c>
      <c r="U8" s="212" t="str">
        <f>IF(ABS(T8-1)&lt;0.005,"OK","FIX")</f>
        <v>OK</v>
      </c>
      <c r="V8" s="6"/>
    </row>
    <row r="9" spans="2:22" ht="13.5" customHeight="1">
      <c r="E9" s="25" t="s">
        <v>519</v>
      </c>
      <c r="F9" s="42" t="s">
        <v>115</v>
      </c>
      <c r="H9" s="210">
        <v>0</v>
      </c>
      <c r="I9" s="210">
        <v>0</v>
      </c>
      <c r="J9" s="210">
        <v>0</v>
      </c>
      <c r="K9" s="210">
        <v>0.02</v>
      </c>
      <c r="L9" s="210">
        <v>0.1</v>
      </c>
      <c r="M9" s="210">
        <v>0.22</v>
      </c>
      <c r="N9" s="210">
        <v>0.28000000000000003</v>
      </c>
      <c r="O9" s="210">
        <v>0.24</v>
      </c>
      <c r="P9" s="210">
        <v>0.1</v>
      </c>
      <c r="Q9" s="210">
        <v>0.04</v>
      </c>
      <c r="R9" s="210">
        <v>0</v>
      </c>
      <c r="S9" s="210">
        <v>0</v>
      </c>
      <c r="T9" s="211">
        <f>SUM(H9:S9)</f>
        <v>1</v>
      </c>
      <c r="U9" s="212" t="str">
        <f>IF(ABS(T9-1)&lt;0.005,"OK","FIX")</f>
        <v>OK</v>
      </c>
      <c r="V9" s="6"/>
    </row>
    <row r="10" spans="2:22" ht="13.5" customHeight="1"/>
    <row r="11" spans="2:22" ht="12" customHeight="1">
      <c r="B11" s="16">
        <f>MAX($A$1:B10)+1</f>
        <v>2</v>
      </c>
      <c r="C11" s="14" t="s">
        <v>520</v>
      </c>
      <c r="D11" s="4"/>
      <c r="E11" s="4"/>
      <c r="F11" s="4"/>
      <c r="G11" s="4"/>
      <c r="H11" s="4"/>
      <c r="I11" s="4"/>
      <c r="J11" s="4"/>
      <c r="K11" s="4"/>
      <c r="L11" s="4"/>
      <c r="M11" s="4"/>
      <c r="N11" s="4"/>
      <c r="O11" s="4"/>
      <c r="P11" s="4"/>
      <c r="Q11" s="4"/>
      <c r="R11" s="4"/>
      <c r="S11" s="4"/>
      <c r="T11" s="4"/>
      <c r="U11" s="4"/>
    </row>
    <row r="12" spans="2:22" ht="13.5" customHeight="1"/>
    <row r="13" spans="2:22" ht="13.5" customHeight="1">
      <c r="E13" s="24" t="s">
        <v>334</v>
      </c>
      <c r="F13" s="24" t="s">
        <v>26</v>
      </c>
      <c r="H13" s="10" t="s">
        <v>504</v>
      </c>
      <c r="I13" s="10" t="s">
        <v>505</v>
      </c>
      <c r="J13" s="10" t="s">
        <v>506</v>
      </c>
      <c r="K13" s="10" t="s">
        <v>507</v>
      </c>
      <c r="L13" s="10" t="s">
        <v>508</v>
      </c>
      <c r="M13" s="10" t="s">
        <v>509</v>
      </c>
      <c r="N13" s="10" t="s">
        <v>510</v>
      </c>
      <c r="O13" s="10" t="s">
        <v>511</v>
      </c>
      <c r="P13" s="10" t="s">
        <v>512</v>
      </c>
      <c r="Q13" s="10" t="s">
        <v>513</v>
      </c>
      <c r="R13" s="10" t="s">
        <v>514</v>
      </c>
      <c r="S13" s="10" t="s">
        <v>515</v>
      </c>
      <c r="T13" s="10" t="s">
        <v>516</v>
      </c>
    </row>
    <row r="14" spans="2:22" ht="13.5" customHeight="1">
      <c r="E14" s="25" t="s">
        <v>521</v>
      </c>
      <c r="F14" s="42" t="s">
        <v>522</v>
      </c>
      <c r="H14" s="213">
        <f>IFERROR(Inputs!$I$93*H7,"TBC")</f>
        <v>342</v>
      </c>
      <c r="I14" s="213">
        <f>IFERROR(Inputs!$I$93*I7,"TBC")</f>
        <v>285</v>
      </c>
      <c r="J14" s="213">
        <f>IFERROR(Inputs!$I$93*J7,"TBC")</f>
        <v>228</v>
      </c>
      <c r="K14" s="213">
        <f>IFERROR(Inputs!$I$93*K7,"TBC")</f>
        <v>114</v>
      </c>
      <c r="L14" s="213">
        <f>IFERROR(Inputs!$I$93*L7,"TBC")</f>
        <v>38</v>
      </c>
      <c r="M14" s="213">
        <f>IFERROR(Inputs!$I$93*M7,"TBC")</f>
        <v>19</v>
      </c>
      <c r="N14" s="213">
        <f>IFERROR(Inputs!$I$93*N7,"TBC")</f>
        <v>19</v>
      </c>
      <c r="O14" s="213">
        <f>IFERROR(Inputs!$I$93*O7,"TBC")</f>
        <v>19</v>
      </c>
      <c r="P14" s="213">
        <f>IFERROR(Inputs!$I$93*P7,"TBC")</f>
        <v>57</v>
      </c>
      <c r="Q14" s="213">
        <f>IFERROR(Inputs!$I$93*Q7,"TBC")</f>
        <v>152</v>
      </c>
      <c r="R14" s="213">
        <f>IFERROR(Inputs!$I$93*R7,"TBC")</f>
        <v>266</v>
      </c>
      <c r="S14" s="213">
        <f>IFERROR(Inputs!$I$93*S7,"TBC")</f>
        <v>361</v>
      </c>
      <c r="T14" s="215">
        <f>SUM(H14:S14)</f>
        <v>1900</v>
      </c>
    </row>
    <row r="15" spans="2:22" ht="13.5" customHeight="1">
      <c r="E15" s="25" t="s">
        <v>523</v>
      </c>
      <c r="F15" s="42" t="s">
        <v>522</v>
      </c>
      <c r="H15" s="213">
        <f>IFERROR(Inputs!$I$45*H8,"TBC")</f>
        <v>276.34013227200001</v>
      </c>
      <c r="I15" s="213">
        <f>IFERROR(Inputs!$I$45*I8,"TBC")</f>
        <v>276.34013227200001</v>
      </c>
      <c r="J15" s="213">
        <f>IFERROR(Inputs!$I$45*J8,"TBC")</f>
        <v>276.34013227200001</v>
      </c>
      <c r="K15" s="213">
        <f>IFERROR(Inputs!$I$45*K8,"TBC")</f>
        <v>276.34013227200001</v>
      </c>
      <c r="L15" s="213">
        <f>IFERROR(Inputs!$I$45*L8,"TBC")</f>
        <v>276.34013227200001</v>
      </c>
      <c r="M15" s="213">
        <f>IFERROR(Inputs!$I$45*M8,"TBC")</f>
        <v>276.34013227200001</v>
      </c>
      <c r="N15" s="213">
        <f>IFERROR(Inputs!$I$45*N8,"TBC")</f>
        <v>276.34013227200001</v>
      </c>
      <c r="O15" s="213">
        <f>IFERROR(Inputs!$I$45*O8,"TBC")</f>
        <v>276.34013227200001</v>
      </c>
      <c r="P15" s="213">
        <f>IFERROR(Inputs!$I$45*P8,"TBC")</f>
        <v>276.34013227200001</v>
      </c>
      <c r="Q15" s="213">
        <f>IFERROR(Inputs!$I$45*Q8,"TBC")</f>
        <v>276.34013227200001</v>
      </c>
      <c r="R15" s="213">
        <f>IFERROR(Inputs!$I$45*R8,"TBC")</f>
        <v>276.34013227200001</v>
      </c>
      <c r="S15" s="213">
        <f>IFERROR(Inputs!$I$45*S8,"TBC")</f>
        <v>289.65772900799999</v>
      </c>
      <c r="T15" s="215">
        <f>SUM(H15:S15)</f>
        <v>3329.3991840000008</v>
      </c>
    </row>
    <row r="16" spans="2:22" ht="13.5" customHeight="1">
      <c r="E16" s="11" t="s">
        <v>524</v>
      </c>
      <c r="F16" s="42" t="s">
        <v>522</v>
      </c>
      <c r="H16" s="214">
        <f t="shared" ref="H16:S16" si="0">IFERROR(H15-H14,"TBC")</f>
        <v>-65.659867727999995</v>
      </c>
      <c r="I16" s="214">
        <f t="shared" si="0"/>
        <v>-8.6598677279999947</v>
      </c>
      <c r="J16" s="214">
        <f t="shared" si="0"/>
        <v>48.340132272000005</v>
      </c>
      <c r="K16" s="214">
        <f t="shared" si="0"/>
        <v>162.34013227200001</v>
      </c>
      <c r="L16" s="214">
        <f t="shared" si="0"/>
        <v>238.34013227200001</v>
      </c>
      <c r="M16" s="214">
        <f t="shared" si="0"/>
        <v>257.34013227200001</v>
      </c>
      <c r="N16" s="214">
        <f t="shared" si="0"/>
        <v>257.34013227200001</v>
      </c>
      <c r="O16" s="214">
        <f t="shared" si="0"/>
        <v>257.34013227200001</v>
      </c>
      <c r="P16" s="214">
        <f t="shared" si="0"/>
        <v>219.34013227200001</v>
      </c>
      <c r="Q16" s="214">
        <f t="shared" si="0"/>
        <v>124.34013227200001</v>
      </c>
      <c r="R16" s="214">
        <f t="shared" si="0"/>
        <v>10.340132272000005</v>
      </c>
      <c r="S16" s="214">
        <f t="shared" si="0"/>
        <v>-71.34227099200001</v>
      </c>
    </row>
    <row r="17" spans="2:21" ht="13.5" customHeight="1">
      <c r="H17" s="324">
        <f>MIN(H14*Inputs!$I$43, H15*(1-Inputs!$I$166))</f>
        <v>276.34013227200001</v>
      </c>
      <c r="I17" s="324">
        <f>MIN(I14*Inputs!$I$43, I15*(1-Inputs!$I$166))</f>
        <v>256.5</v>
      </c>
      <c r="J17" s="324">
        <f>MIN(J14*Inputs!$I$43, J15*(1-Inputs!$I$166))</f>
        <v>205.20000000000002</v>
      </c>
      <c r="K17" s="324">
        <f>MIN(K14*Inputs!$I$43, K15*(1-Inputs!$I$166))</f>
        <v>102.60000000000001</v>
      </c>
      <c r="L17" s="324">
        <f>MIN(L14*Inputs!$I$43, L15*(1-Inputs!$I$166))</f>
        <v>34.200000000000003</v>
      </c>
      <c r="M17" s="324">
        <f>MIN(M14*Inputs!$I$43, M15*(1-Inputs!$I$166))</f>
        <v>17.100000000000001</v>
      </c>
      <c r="N17" s="324">
        <f>MIN(N14*Inputs!$I$43, N15*(1-Inputs!$I$166))</f>
        <v>17.100000000000001</v>
      </c>
      <c r="O17" s="324">
        <f>MIN(O14*Inputs!$I$43, O15*(1-Inputs!$I$166))</f>
        <v>17.100000000000001</v>
      </c>
      <c r="P17" s="324">
        <f>MIN(P14*Inputs!$I$43, P15*(1-Inputs!$I$166))</f>
        <v>51.300000000000004</v>
      </c>
      <c r="Q17" s="324">
        <f>MIN(Q14*Inputs!$I$43, Q15*(1-Inputs!$I$166))</f>
        <v>136.80000000000001</v>
      </c>
      <c r="R17" s="324">
        <f>MIN(R14*Inputs!$I$43, R15*(1-Inputs!$I$166))</f>
        <v>239.4</v>
      </c>
      <c r="S17" s="324">
        <f>MIN(S14*Inputs!$I$43, S15*(1-Inputs!$I$166))</f>
        <v>289.65772900799999</v>
      </c>
      <c r="T17" s="215">
        <f>SUM(H17:S17)</f>
        <v>1643.2978612800002</v>
      </c>
    </row>
    <row r="18" spans="2:21" ht="13.5" customHeight="1">
      <c r="B18" s="16">
        <f>MAX($A$1:B17)+1</f>
        <v>3</v>
      </c>
      <c r="C18" s="14" t="s">
        <v>525</v>
      </c>
      <c r="D18" s="4"/>
      <c r="E18" s="4"/>
      <c r="F18" s="4"/>
      <c r="G18" s="4"/>
      <c r="H18" s="4"/>
      <c r="I18" s="4"/>
      <c r="J18" s="4"/>
      <c r="K18" s="4"/>
      <c r="L18" s="4"/>
      <c r="M18" s="4"/>
      <c r="N18" s="4"/>
      <c r="O18" s="4"/>
      <c r="P18" s="4"/>
      <c r="Q18" s="4"/>
      <c r="R18" s="4"/>
      <c r="S18" s="4"/>
      <c r="T18" s="4"/>
      <c r="U18" s="4"/>
    </row>
    <row r="19" spans="2:21" ht="13.5" customHeight="1"/>
    <row r="20" spans="2:21" ht="13.5" customHeight="1">
      <c r="E20" s="24" t="s">
        <v>526</v>
      </c>
      <c r="G20" s="10" t="s">
        <v>527</v>
      </c>
      <c r="H20" s="10" t="s">
        <v>528</v>
      </c>
    </row>
    <row r="21" spans="2:21" ht="13.5" customHeight="1">
      <c r="E21" s="25" t="s">
        <v>529</v>
      </c>
      <c r="G21" s="216">
        <f>Inputs!$I$91</f>
        <v>55</v>
      </c>
      <c r="H21" s="210">
        <v>1</v>
      </c>
    </row>
    <row r="22" spans="2:21" ht="13.5" customHeight="1">
      <c r="E22" s="25" t="s">
        <v>530</v>
      </c>
      <c r="G22" s="217">
        <v>0</v>
      </c>
      <c r="H22" s="210">
        <v>0</v>
      </c>
    </row>
    <row r="23" spans="2:21" ht="13.5" customHeight="1">
      <c r="E23" s="25" t="s">
        <v>531</v>
      </c>
      <c r="G23" s="217">
        <v>0</v>
      </c>
      <c r="H23" s="210">
        <v>0</v>
      </c>
    </row>
    <row r="24" spans="2:21" ht="13.5" customHeight="1">
      <c r="E24" s="11" t="s">
        <v>532</v>
      </c>
      <c r="F24" s="42" t="s">
        <v>533</v>
      </c>
      <c r="G24" s="215">
        <f>IFERROR(SUMPRODUCT(G21:G23,H21:H23)/SUM(H21:H23),0)</f>
        <v>55</v>
      </c>
      <c r="H24" s="212" t="str">
        <f>IF(ABS(SUM(H21:H23)-1)&lt;0.005,"OK","FIX")</f>
        <v>OK</v>
      </c>
    </row>
    <row r="25" spans="2:21" ht="13.5" customHeight="1"/>
    <row r="26" spans="2:21" ht="13.5" customHeight="1">
      <c r="B26" s="16">
        <f>MAX($A$1:B25)+1</f>
        <v>4</v>
      </c>
      <c r="C26" s="14" t="s">
        <v>534</v>
      </c>
      <c r="D26" s="4"/>
      <c r="E26" s="4"/>
      <c r="F26" s="4"/>
      <c r="G26" s="4"/>
      <c r="H26" s="4"/>
      <c r="I26" s="4"/>
      <c r="J26" s="4"/>
      <c r="K26" s="4"/>
      <c r="L26" s="4"/>
      <c r="M26" s="4"/>
      <c r="N26" s="4"/>
      <c r="O26" s="4"/>
      <c r="P26" s="4"/>
      <c r="Q26" s="4"/>
      <c r="R26" s="4"/>
      <c r="S26" s="4"/>
      <c r="T26" s="4"/>
      <c r="U26" s="4"/>
    </row>
    <row r="27" spans="2:21" ht="13.5" customHeight="1"/>
    <row r="28" spans="2:21" ht="13.5" customHeight="1">
      <c r="E28" s="24" t="s">
        <v>535</v>
      </c>
      <c r="G28" s="10" t="s">
        <v>536</v>
      </c>
      <c r="H28" s="10" t="s">
        <v>528</v>
      </c>
    </row>
    <row r="29" spans="2:21" ht="13.5" customHeight="1">
      <c r="E29" s="25" t="s">
        <v>537</v>
      </c>
      <c r="G29" s="216">
        <f>Inputs!$I$91</f>
        <v>55</v>
      </c>
      <c r="H29" s="218">
        <v>1</v>
      </c>
      <c r="I29" s="335"/>
    </row>
    <row r="30" spans="2:21" ht="13.5" customHeight="1">
      <c r="E30" s="25" t="s">
        <v>538</v>
      </c>
      <c r="G30" s="216">
        <f>Inputs!$I$96</f>
        <v>75</v>
      </c>
      <c r="H30" s="218">
        <v>0</v>
      </c>
    </row>
    <row r="31" spans="2:21" ht="13.5" customHeight="1">
      <c r="E31" s="25" t="s">
        <v>539</v>
      </c>
      <c r="G31" s="216">
        <f>Inputs!$I$97</f>
        <v>90</v>
      </c>
      <c r="H31" s="218">
        <f>Inputs!I166</f>
        <v>0</v>
      </c>
    </row>
    <row r="32" spans="2:21" ht="13.5" customHeight="1">
      <c r="E32" s="11" t="s">
        <v>540</v>
      </c>
      <c r="F32" s="42" t="s">
        <v>533</v>
      </c>
      <c r="G32" s="215">
        <f>IFERROR(SUMPRODUCT(G29:G31,H29:H31)/SUM(H29:H31),0)</f>
        <v>55</v>
      </c>
      <c r="H32" s="212" t="str">
        <f>IF(ABS(SUM(H29:H31)-1)&lt;0.005,"OK","FIX")</f>
        <v>OK</v>
      </c>
    </row>
    <row r="33" spans="2:21" ht="13.5" customHeight="1">
      <c r="E33" s="335" t="s">
        <v>541</v>
      </c>
    </row>
    <row r="34" spans="2:21" ht="13.5" customHeight="1"/>
    <row r="35" spans="2:21" ht="13.5" customHeight="1"/>
    <row r="36" spans="2:21" ht="13.5" customHeight="1">
      <c r="B36" s="16">
        <f>MAX($A$1:B35)+1</f>
        <v>5</v>
      </c>
      <c r="C36" s="14" t="s">
        <v>542</v>
      </c>
      <c r="D36" s="4"/>
      <c r="E36" s="4"/>
      <c r="F36" s="4"/>
      <c r="G36" s="4"/>
      <c r="H36" s="4"/>
      <c r="I36" s="4"/>
      <c r="J36" s="4"/>
      <c r="K36" s="4"/>
      <c r="L36" s="4"/>
      <c r="M36" s="4"/>
      <c r="N36" s="4"/>
      <c r="O36" s="4"/>
      <c r="P36" s="4"/>
      <c r="Q36" s="4"/>
      <c r="R36" s="4"/>
      <c r="S36" s="4"/>
      <c r="T36" s="4"/>
      <c r="U36" s="4"/>
    </row>
    <row r="37" spans="2:21" ht="13.5" customHeight="1"/>
    <row r="38" spans="2:21" ht="13.5" customHeight="1">
      <c r="E38" s="1" t="s">
        <v>543</v>
      </c>
      <c r="H38" s="324">
        <f>IF(Inputs!$I$20="Yes",Inputs!$I$68*Inputs!$I$70/1000*H37,0)</f>
        <v>0</v>
      </c>
      <c r="I38" s="324">
        <f>IF(Inputs!$I$20="Yes",Inputs!$I$68*Inputs!$I$70/1000*I37,0)</f>
        <v>0</v>
      </c>
      <c r="J38" s="324">
        <f>IF(Inputs!$I$20="Yes",Inputs!$I$68*Inputs!$I$70/1000*J37,0)</f>
        <v>0</v>
      </c>
      <c r="K38" s="324">
        <f>IF(Inputs!$I$20="Yes",Inputs!$I$68*Inputs!$I$70/1000*K37,0)</f>
        <v>0</v>
      </c>
      <c r="L38" s="324">
        <f>IF(Inputs!$I$20="Yes",Inputs!$I$68*Inputs!$I$70/1000*L37,0)</f>
        <v>0</v>
      </c>
      <c r="M38" s="324">
        <f>IF(Inputs!$I$20="Yes",Inputs!$I$68*Inputs!$I$70/1000*M37,0)</f>
        <v>0</v>
      </c>
      <c r="N38" s="324">
        <f>IF(Inputs!$I$20="Yes",Inputs!$I$68*Inputs!$I$70/1000*N37,0)</f>
        <v>0</v>
      </c>
      <c r="O38" s="324">
        <f>IF(Inputs!$I$20="Yes",Inputs!$I$68*Inputs!$I$70/1000*O37,0)</f>
        <v>0</v>
      </c>
      <c r="P38" s="324">
        <f>IF(Inputs!$I$20="Yes",Inputs!$I$68*Inputs!$I$70/1000*P37,0)</f>
        <v>0</v>
      </c>
      <c r="Q38" s="324">
        <f>IF(Inputs!$I$20="Yes",Inputs!$I$68*Inputs!$I$70/1000*Q37,0)</f>
        <v>0</v>
      </c>
      <c r="R38" s="324">
        <f>IF(Inputs!$I$20="Yes",Inputs!$I$68*Inputs!$I$70/1000*R37,0)</f>
        <v>0</v>
      </c>
      <c r="S38" s="324">
        <f>IF(Inputs!$I$20="Yes",Inputs!$I$68*Inputs!$I$70/1000*S37,0)</f>
        <v>0</v>
      </c>
    </row>
    <row r="39" spans="2:21" ht="13.5" customHeight="1">
      <c r="E39" s="1" t="s">
        <v>544</v>
      </c>
      <c r="H39" s="324">
        <f>IF(ISNUMBER(Inputs!$I$51),$T$17/Inputs!$I$51*H7,0)</f>
        <v>36.055903096803299</v>
      </c>
      <c r="I39" s="324">
        <f>IF(ISNUMBER(Inputs!$I$51),$T$17/Inputs!$I$51*I7,0)</f>
        <v>30.046585914002748</v>
      </c>
      <c r="J39" s="324">
        <f>IF(ISNUMBER(Inputs!$I$51),$T$17/Inputs!$I$51*J7,0)</f>
        <v>24.037268731202197</v>
      </c>
      <c r="K39" s="324">
        <f>IF(ISNUMBER(Inputs!$I$51),$T$17/Inputs!$I$51*K7,0)</f>
        <v>12.018634365601098</v>
      </c>
      <c r="L39" s="324">
        <f>IF(ISNUMBER(Inputs!$I$51),$T$17/Inputs!$I$51*L7,0)</f>
        <v>4.0062114552003667</v>
      </c>
      <c r="M39" s="324">
        <f>IF(ISNUMBER(Inputs!$I$51),$T$17/Inputs!$I$51*M7,0)</f>
        <v>2.0031057276001834</v>
      </c>
      <c r="N39" s="324">
        <f>IF(ISNUMBER(Inputs!$I$51),$T$17/Inputs!$I$51*N7,0)</f>
        <v>2.0031057276001834</v>
      </c>
      <c r="O39" s="324">
        <f>IF(ISNUMBER(Inputs!$I$51),$T$17/Inputs!$I$51*O7,0)</f>
        <v>2.0031057276001834</v>
      </c>
      <c r="P39" s="324">
        <f>IF(ISNUMBER(Inputs!$I$51),$T$17/Inputs!$I$51*P7,0)</f>
        <v>6.0093171828005492</v>
      </c>
      <c r="Q39" s="324">
        <f>IF(ISNUMBER(Inputs!$I$51),$T$17/Inputs!$I$51*Q7,0)</f>
        <v>16.024845820801467</v>
      </c>
      <c r="R39" s="324">
        <f>IF(ISNUMBER(Inputs!$I$51),$T$17/Inputs!$I$51*R7,0)</f>
        <v>28.043480186402569</v>
      </c>
      <c r="S39" s="324">
        <f>IF(ISNUMBER(Inputs!$I$51),$T$17/Inputs!$I$51*S7,0)</f>
        <v>38.059008824403477</v>
      </c>
    </row>
    <row r="40" spans="2:21" ht="13.5" customHeight="1">
      <c r="E40" s="1" t="s">
        <v>545</v>
      </c>
      <c r="H40" s="324">
        <f>MIN(H38,H39)</f>
        <v>0</v>
      </c>
      <c r="I40" s="324">
        <f t="shared" ref="I40:S40" si="1">MIN(I38,I39)</f>
        <v>0</v>
      </c>
      <c r="J40" s="324">
        <f t="shared" si="1"/>
        <v>0</v>
      </c>
      <c r="K40" s="324">
        <f t="shared" si="1"/>
        <v>0</v>
      </c>
      <c r="L40" s="324">
        <f t="shared" si="1"/>
        <v>0</v>
      </c>
      <c r="M40" s="324">
        <f t="shared" si="1"/>
        <v>0</v>
      </c>
      <c r="N40" s="324">
        <f t="shared" si="1"/>
        <v>0</v>
      </c>
      <c r="O40" s="324">
        <f t="shared" si="1"/>
        <v>0</v>
      </c>
      <c r="P40" s="324">
        <f t="shared" si="1"/>
        <v>0</v>
      </c>
      <c r="Q40" s="324">
        <f t="shared" si="1"/>
        <v>0</v>
      </c>
      <c r="R40" s="324">
        <f t="shared" si="1"/>
        <v>0</v>
      </c>
      <c r="S40" s="324">
        <f t="shared" si="1"/>
        <v>0</v>
      </c>
      <c r="T40" s="215">
        <f>SUM(H40:S40)</f>
        <v>0</v>
      </c>
    </row>
    <row r="41" spans="2:21" ht="13.5" customHeight="1"/>
    <row r="42" spans="2:21" ht="13.5" customHeight="1"/>
    <row r="43" spans="2:21" ht="13.5" customHeight="1"/>
    <row r="44" spans="2:21" ht="13.5" customHeight="1"/>
    <row r="45" spans="2:21" ht="13.5" customHeight="1"/>
    <row r="46" spans="2:21" ht="13.5" customHeight="1"/>
    <row r="47" spans="2:21" ht="13.5" customHeight="1"/>
    <row r="48" spans="2:21"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I1:AL39"/>
  <sheetViews>
    <sheetView showGridLines="0" zoomScale="70" zoomScaleNormal="70" workbookViewId="0">
      <pane xSplit="14" ySplit="10" topLeftCell="O11" activePane="bottomRight" state="frozen"/>
      <selection pane="bottomRight" activeCell="Q13" sqref="Q13"/>
      <selection pane="bottomLeft" activeCell="A11" sqref="A11"/>
      <selection pane="topRight" activeCell="O1" sqref="O1"/>
    </sheetView>
  </sheetViews>
  <sheetFormatPr defaultColWidth="8.7109375" defaultRowHeight="14.25"/>
  <cols>
    <col min="1" max="1" width="2.85546875" customWidth="1"/>
    <col min="2" max="2" width="3.42578125" customWidth="1"/>
    <col min="3" max="3" width="3.28515625" customWidth="1"/>
    <col min="4" max="4" width="3.7109375" customWidth="1"/>
    <col min="5" max="8" width="13" customWidth="1"/>
    <col min="9" max="9" width="10.85546875" customWidth="1"/>
    <col min="10" max="10" width="11" customWidth="1"/>
    <col min="11" max="11" width="9.85546875" customWidth="1"/>
    <col min="12" max="12" width="11.42578125" customWidth="1"/>
    <col min="13" max="13" width="22" customWidth="1"/>
    <col min="14" max="14" width="12.42578125" customWidth="1"/>
    <col min="15" max="37" width="11" customWidth="1"/>
    <col min="38" max="38" width="1.28515625" style="89" customWidth="1"/>
  </cols>
  <sheetData>
    <row r="1" spans="9:38" ht="13.5" customHeight="1">
      <c r="AL1" s="128"/>
    </row>
    <row r="2" spans="9:38" ht="13.5" customHeight="1">
      <c r="L2" s="10" t="s">
        <v>546</v>
      </c>
      <c r="M2" s="11" t="s">
        <v>547</v>
      </c>
      <c r="N2" s="32">
        <f>DATE($J$12-1,1,1)</f>
        <v>46023</v>
      </c>
      <c r="O2" s="91">
        <f>DATE($J$12,1,1)</f>
        <v>46388</v>
      </c>
      <c r="P2" s="92">
        <f t="shared" ref="P2:AK2" si="0">O3+1</f>
        <v>46753</v>
      </c>
      <c r="Q2" s="92">
        <f t="shared" si="0"/>
        <v>47119</v>
      </c>
      <c r="R2" s="92">
        <f t="shared" si="0"/>
        <v>47484</v>
      </c>
      <c r="S2" s="92">
        <f t="shared" si="0"/>
        <v>47849</v>
      </c>
      <c r="T2" s="92">
        <f t="shared" si="0"/>
        <v>48214</v>
      </c>
      <c r="U2" s="92">
        <f t="shared" si="0"/>
        <v>48580</v>
      </c>
      <c r="V2" s="92">
        <f t="shared" si="0"/>
        <v>48945</v>
      </c>
      <c r="W2" s="92">
        <f t="shared" si="0"/>
        <v>49310</v>
      </c>
      <c r="X2" s="92">
        <f t="shared" si="0"/>
        <v>49675</v>
      </c>
      <c r="Y2" s="92">
        <f t="shared" si="0"/>
        <v>50041</v>
      </c>
      <c r="Z2" s="92">
        <f t="shared" si="0"/>
        <v>50406</v>
      </c>
      <c r="AA2" s="92">
        <f t="shared" si="0"/>
        <v>50771</v>
      </c>
      <c r="AB2" s="92">
        <f t="shared" si="0"/>
        <v>51136</v>
      </c>
      <c r="AC2" s="92">
        <f t="shared" si="0"/>
        <v>51502</v>
      </c>
      <c r="AD2" s="92">
        <f t="shared" si="0"/>
        <v>51867</v>
      </c>
      <c r="AE2" s="92">
        <f t="shared" si="0"/>
        <v>52232</v>
      </c>
      <c r="AF2" s="92">
        <f t="shared" si="0"/>
        <v>52597</v>
      </c>
      <c r="AG2" s="92">
        <f t="shared" si="0"/>
        <v>52963</v>
      </c>
      <c r="AH2" s="92">
        <f t="shared" si="0"/>
        <v>53328</v>
      </c>
      <c r="AI2" s="92">
        <f t="shared" si="0"/>
        <v>53693</v>
      </c>
      <c r="AJ2" s="92">
        <f t="shared" si="0"/>
        <v>54058</v>
      </c>
      <c r="AK2" s="92">
        <f t="shared" si="0"/>
        <v>54424</v>
      </c>
    </row>
    <row r="3" spans="9:38" ht="13.5" customHeight="1">
      <c r="L3" s="205">
        <f>SUM(L12:L14)</f>
        <v>0</v>
      </c>
      <c r="M3" s="11" t="s">
        <v>548</v>
      </c>
      <c r="N3" s="34"/>
      <c r="O3" s="93">
        <f t="shared" ref="O3:AK3" si="1">EOMONTH(O2,11)</f>
        <v>46752</v>
      </c>
      <c r="P3" s="94">
        <f t="shared" si="1"/>
        <v>47118</v>
      </c>
      <c r="Q3" s="94">
        <f t="shared" si="1"/>
        <v>47483</v>
      </c>
      <c r="R3" s="94">
        <f t="shared" si="1"/>
        <v>47848</v>
      </c>
      <c r="S3" s="94">
        <f t="shared" si="1"/>
        <v>48213</v>
      </c>
      <c r="T3" s="94">
        <f t="shared" si="1"/>
        <v>48579</v>
      </c>
      <c r="U3" s="94">
        <f t="shared" si="1"/>
        <v>48944</v>
      </c>
      <c r="V3" s="94">
        <f t="shared" si="1"/>
        <v>49309</v>
      </c>
      <c r="W3" s="94">
        <f t="shared" si="1"/>
        <v>49674</v>
      </c>
      <c r="X3" s="94">
        <f t="shared" si="1"/>
        <v>50040</v>
      </c>
      <c r="Y3" s="94">
        <f t="shared" si="1"/>
        <v>50405</v>
      </c>
      <c r="Z3" s="94">
        <f t="shared" si="1"/>
        <v>50770</v>
      </c>
      <c r="AA3" s="94">
        <f t="shared" si="1"/>
        <v>51135</v>
      </c>
      <c r="AB3" s="94">
        <f t="shared" si="1"/>
        <v>51501</v>
      </c>
      <c r="AC3" s="94">
        <f t="shared" si="1"/>
        <v>51866</v>
      </c>
      <c r="AD3" s="94">
        <f t="shared" si="1"/>
        <v>52231</v>
      </c>
      <c r="AE3" s="94">
        <f t="shared" si="1"/>
        <v>52596</v>
      </c>
      <c r="AF3" s="94">
        <f t="shared" si="1"/>
        <v>52962</v>
      </c>
      <c r="AG3" s="94">
        <f t="shared" si="1"/>
        <v>53327</v>
      </c>
      <c r="AH3" s="94">
        <f t="shared" si="1"/>
        <v>53692</v>
      </c>
      <c r="AI3" s="94">
        <f t="shared" si="1"/>
        <v>54057</v>
      </c>
      <c r="AJ3" s="94">
        <f t="shared" si="1"/>
        <v>54423</v>
      </c>
      <c r="AK3" s="94">
        <f t="shared" si="1"/>
        <v>54788</v>
      </c>
    </row>
    <row r="4" spans="9:38" ht="13.5" customHeight="1">
      <c r="M4" s="11" t="s">
        <v>101</v>
      </c>
      <c r="N4" s="34"/>
      <c r="O4" s="251">
        <f t="shared" ref="O4:AK4" si="2">YEAR(O2)</f>
        <v>2027</v>
      </c>
      <c r="P4" s="35">
        <f t="shared" si="2"/>
        <v>2028</v>
      </c>
      <c r="Q4" s="35">
        <f t="shared" si="2"/>
        <v>2029</v>
      </c>
      <c r="R4" s="35">
        <f t="shared" si="2"/>
        <v>2030</v>
      </c>
      <c r="S4" s="35">
        <f t="shared" si="2"/>
        <v>2031</v>
      </c>
      <c r="T4" s="35">
        <f t="shared" si="2"/>
        <v>2032</v>
      </c>
      <c r="U4" s="35">
        <f t="shared" si="2"/>
        <v>2033</v>
      </c>
      <c r="V4" s="35">
        <f t="shared" si="2"/>
        <v>2034</v>
      </c>
      <c r="W4" s="35">
        <f t="shared" si="2"/>
        <v>2035</v>
      </c>
      <c r="X4" s="35">
        <f t="shared" si="2"/>
        <v>2036</v>
      </c>
      <c r="Y4" s="35">
        <f t="shared" si="2"/>
        <v>2037</v>
      </c>
      <c r="Z4" s="35">
        <f t="shared" si="2"/>
        <v>2038</v>
      </c>
      <c r="AA4" s="35">
        <f t="shared" si="2"/>
        <v>2039</v>
      </c>
      <c r="AB4" s="35">
        <f t="shared" si="2"/>
        <v>2040</v>
      </c>
      <c r="AC4" s="35">
        <f t="shared" si="2"/>
        <v>2041</v>
      </c>
      <c r="AD4" s="35">
        <f t="shared" si="2"/>
        <v>2042</v>
      </c>
      <c r="AE4" s="35">
        <f t="shared" si="2"/>
        <v>2043</v>
      </c>
      <c r="AF4" s="35">
        <f t="shared" si="2"/>
        <v>2044</v>
      </c>
      <c r="AG4" s="35">
        <f t="shared" si="2"/>
        <v>2045</v>
      </c>
      <c r="AH4" s="35">
        <f t="shared" si="2"/>
        <v>2046</v>
      </c>
      <c r="AI4" s="35">
        <f t="shared" si="2"/>
        <v>2047</v>
      </c>
      <c r="AJ4" s="35">
        <f t="shared" si="2"/>
        <v>2048</v>
      </c>
      <c r="AK4" s="35">
        <f t="shared" si="2"/>
        <v>2049</v>
      </c>
    </row>
    <row r="5" spans="9:38" ht="13.5" customHeight="1">
      <c r="M5" s="11" t="s">
        <v>549</v>
      </c>
      <c r="N5" s="34"/>
      <c r="O5" s="316">
        <f t="shared" ref="O5:AK5" si="3">O3-O2+1</f>
        <v>365</v>
      </c>
      <c r="P5" s="36">
        <f t="shared" si="3"/>
        <v>366</v>
      </c>
      <c r="Q5" s="36">
        <f t="shared" si="3"/>
        <v>365</v>
      </c>
      <c r="R5" s="36">
        <f t="shared" si="3"/>
        <v>365</v>
      </c>
      <c r="S5" s="36">
        <f t="shared" si="3"/>
        <v>365</v>
      </c>
      <c r="T5" s="36">
        <f t="shared" si="3"/>
        <v>366</v>
      </c>
      <c r="U5" s="36">
        <f t="shared" si="3"/>
        <v>365</v>
      </c>
      <c r="V5" s="36">
        <f t="shared" si="3"/>
        <v>365</v>
      </c>
      <c r="W5" s="36">
        <f t="shared" si="3"/>
        <v>365</v>
      </c>
      <c r="X5" s="36">
        <f t="shared" si="3"/>
        <v>366</v>
      </c>
      <c r="Y5" s="36">
        <f t="shared" si="3"/>
        <v>365</v>
      </c>
      <c r="Z5" s="36">
        <f t="shared" si="3"/>
        <v>365</v>
      </c>
      <c r="AA5" s="36">
        <f t="shared" si="3"/>
        <v>365</v>
      </c>
      <c r="AB5" s="36">
        <f t="shared" si="3"/>
        <v>366</v>
      </c>
      <c r="AC5" s="36">
        <f t="shared" si="3"/>
        <v>365</v>
      </c>
      <c r="AD5" s="36">
        <f t="shared" si="3"/>
        <v>365</v>
      </c>
      <c r="AE5" s="36">
        <f t="shared" si="3"/>
        <v>365</v>
      </c>
      <c r="AF5" s="36">
        <f t="shared" si="3"/>
        <v>366</v>
      </c>
      <c r="AG5" s="36">
        <f t="shared" si="3"/>
        <v>365</v>
      </c>
      <c r="AH5" s="36">
        <f t="shared" si="3"/>
        <v>365</v>
      </c>
      <c r="AI5" s="36">
        <f t="shared" si="3"/>
        <v>365</v>
      </c>
      <c r="AJ5" s="36">
        <f t="shared" si="3"/>
        <v>366</v>
      </c>
      <c r="AK5" s="36">
        <f t="shared" si="3"/>
        <v>365</v>
      </c>
    </row>
    <row r="6" spans="9:38" ht="13.5" customHeight="1">
      <c r="M6" s="11" t="s">
        <v>550</v>
      </c>
      <c r="N6" s="34"/>
      <c r="O6" s="316">
        <f t="shared" ref="O6:AK6" si="4">DATE(O4,12,31)-DATE(O4,1,1)+1</f>
        <v>365</v>
      </c>
      <c r="P6" s="36">
        <f t="shared" si="4"/>
        <v>366</v>
      </c>
      <c r="Q6" s="36">
        <f t="shared" si="4"/>
        <v>365</v>
      </c>
      <c r="R6" s="36">
        <f t="shared" si="4"/>
        <v>365</v>
      </c>
      <c r="S6" s="36">
        <f t="shared" si="4"/>
        <v>365</v>
      </c>
      <c r="T6" s="36">
        <f t="shared" si="4"/>
        <v>366</v>
      </c>
      <c r="U6" s="36">
        <f t="shared" si="4"/>
        <v>365</v>
      </c>
      <c r="V6" s="36">
        <f t="shared" si="4"/>
        <v>365</v>
      </c>
      <c r="W6" s="36">
        <f t="shared" si="4"/>
        <v>365</v>
      </c>
      <c r="X6" s="36">
        <f t="shared" si="4"/>
        <v>366</v>
      </c>
      <c r="Y6" s="36">
        <f t="shared" si="4"/>
        <v>365</v>
      </c>
      <c r="Z6" s="36">
        <f t="shared" si="4"/>
        <v>365</v>
      </c>
      <c r="AA6" s="36">
        <f t="shared" si="4"/>
        <v>365</v>
      </c>
      <c r="AB6" s="36">
        <f t="shared" si="4"/>
        <v>366</v>
      </c>
      <c r="AC6" s="36">
        <f t="shared" si="4"/>
        <v>365</v>
      </c>
      <c r="AD6" s="36">
        <f t="shared" si="4"/>
        <v>365</v>
      </c>
      <c r="AE6" s="36">
        <f t="shared" si="4"/>
        <v>365</v>
      </c>
      <c r="AF6" s="36">
        <f t="shared" si="4"/>
        <v>366</v>
      </c>
      <c r="AG6" s="36">
        <f t="shared" si="4"/>
        <v>365</v>
      </c>
      <c r="AH6" s="36">
        <f t="shared" si="4"/>
        <v>365</v>
      </c>
      <c r="AI6" s="36">
        <f t="shared" si="4"/>
        <v>365</v>
      </c>
      <c r="AJ6" s="36">
        <f t="shared" si="4"/>
        <v>366</v>
      </c>
      <c r="AK6" s="36">
        <f t="shared" si="4"/>
        <v>365</v>
      </c>
    </row>
    <row r="7" spans="9:38" ht="13.5" customHeight="1">
      <c r="M7" s="11" t="s">
        <v>551</v>
      </c>
      <c r="N7" s="34"/>
      <c r="O7" s="251">
        <f t="shared" ref="O7:AK7" si="5">MONTH(O3)</f>
        <v>12</v>
      </c>
      <c r="P7" s="35">
        <f t="shared" si="5"/>
        <v>12</v>
      </c>
      <c r="Q7" s="35">
        <f t="shared" si="5"/>
        <v>12</v>
      </c>
      <c r="R7" s="35">
        <f t="shared" si="5"/>
        <v>12</v>
      </c>
      <c r="S7" s="35">
        <f t="shared" si="5"/>
        <v>12</v>
      </c>
      <c r="T7" s="35">
        <f t="shared" si="5"/>
        <v>12</v>
      </c>
      <c r="U7" s="35">
        <f t="shared" si="5"/>
        <v>12</v>
      </c>
      <c r="V7" s="35">
        <f t="shared" si="5"/>
        <v>12</v>
      </c>
      <c r="W7" s="35">
        <f t="shared" si="5"/>
        <v>12</v>
      </c>
      <c r="X7" s="35">
        <f t="shared" si="5"/>
        <v>12</v>
      </c>
      <c r="Y7" s="35">
        <f t="shared" si="5"/>
        <v>12</v>
      </c>
      <c r="Z7" s="35">
        <f t="shared" si="5"/>
        <v>12</v>
      </c>
      <c r="AA7" s="35">
        <f t="shared" si="5"/>
        <v>12</v>
      </c>
      <c r="AB7" s="35">
        <f t="shared" si="5"/>
        <v>12</v>
      </c>
      <c r="AC7" s="35">
        <f t="shared" si="5"/>
        <v>12</v>
      </c>
      <c r="AD7" s="35">
        <f t="shared" si="5"/>
        <v>12</v>
      </c>
      <c r="AE7" s="35">
        <f t="shared" si="5"/>
        <v>12</v>
      </c>
      <c r="AF7" s="35">
        <f t="shared" si="5"/>
        <v>12</v>
      </c>
      <c r="AG7" s="35">
        <f t="shared" si="5"/>
        <v>12</v>
      </c>
      <c r="AH7" s="35">
        <f t="shared" si="5"/>
        <v>12</v>
      </c>
      <c r="AI7" s="35">
        <f t="shared" si="5"/>
        <v>12</v>
      </c>
      <c r="AJ7" s="35">
        <f t="shared" si="5"/>
        <v>12</v>
      </c>
      <c r="AK7" s="35">
        <f t="shared" si="5"/>
        <v>12</v>
      </c>
    </row>
    <row r="8" spans="9:38" ht="13.5" customHeight="1">
      <c r="M8" s="11" t="s">
        <v>552</v>
      </c>
      <c r="N8" s="35">
        <v>-1</v>
      </c>
      <c r="O8" s="97">
        <f t="shared" ref="O8:AK8" si="6">N8+1</f>
        <v>0</v>
      </c>
      <c r="P8" s="98">
        <f t="shared" si="6"/>
        <v>1</v>
      </c>
      <c r="Q8" s="98">
        <f t="shared" si="6"/>
        <v>2</v>
      </c>
      <c r="R8" s="98">
        <f t="shared" si="6"/>
        <v>3</v>
      </c>
      <c r="S8" s="98">
        <f t="shared" si="6"/>
        <v>4</v>
      </c>
      <c r="T8" s="98">
        <f t="shared" si="6"/>
        <v>5</v>
      </c>
      <c r="U8" s="98">
        <f t="shared" si="6"/>
        <v>6</v>
      </c>
      <c r="V8" s="98">
        <f t="shared" si="6"/>
        <v>7</v>
      </c>
      <c r="W8" s="98">
        <f t="shared" si="6"/>
        <v>8</v>
      </c>
      <c r="X8" s="98">
        <f t="shared" si="6"/>
        <v>9</v>
      </c>
      <c r="Y8" s="98">
        <f t="shared" si="6"/>
        <v>10</v>
      </c>
      <c r="Z8" s="98">
        <f t="shared" si="6"/>
        <v>11</v>
      </c>
      <c r="AA8" s="98">
        <f t="shared" si="6"/>
        <v>12</v>
      </c>
      <c r="AB8" s="98">
        <f t="shared" si="6"/>
        <v>13</v>
      </c>
      <c r="AC8" s="98">
        <f t="shared" si="6"/>
        <v>14</v>
      </c>
      <c r="AD8" s="98">
        <f t="shared" si="6"/>
        <v>15</v>
      </c>
      <c r="AE8" s="98">
        <f t="shared" si="6"/>
        <v>16</v>
      </c>
      <c r="AF8" s="98">
        <f t="shared" si="6"/>
        <v>17</v>
      </c>
      <c r="AG8" s="98">
        <f t="shared" si="6"/>
        <v>18</v>
      </c>
      <c r="AH8" s="98">
        <f t="shared" si="6"/>
        <v>19</v>
      </c>
      <c r="AI8" s="98">
        <f t="shared" si="6"/>
        <v>20</v>
      </c>
      <c r="AJ8" s="98">
        <f t="shared" si="6"/>
        <v>21</v>
      </c>
      <c r="AK8" s="98">
        <f t="shared" si="6"/>
        <v>22</v>
      </c>
    </row>
    <row r="9" spans="9:38" ht="13.5" customHeight="1"/>
    <row r="10" spans="9:38" ht="13.5" customHeight="1">
      <c r="I10" s="11" t="s">
        <v>26</v>
      </c>
      <c r="J10" s="11" t="s">
        <v>553</v>
      </c>
      <c r="L10" s="11" t="s">
        <v>66</v>
      </c>
      <c r="M10" s="11" t="s">
        <v>554</v>
      </c>
      <c r="N10" s="11" t="s">
        <v>555</v>
      </c>
    </row>
    <row r="11" spans="9:38" ht="13.5" customHeight="1"/>
    <row r="12" spans="9:38" ht="13.5" customHeight="1">
      <c r="I12" s="7" t="s">
        <v>101</v>
      </c>
      <c r="J12" s="37">
        <f>Inputs!$I$26</f>
        <v>2027</v>
      </c>
      <c r="L12" s="205">
        <f>IF(ISNUMBER($J$12),0,1)</f>
        <v>0</v>
      </c>
      <c r="M12" s="25" t="s">
        <v>100</v>
      </c>
    </row>
    <row r="13" spans="9:38" ht="13.5" customHeight="1">
      <c r="I13" s="7" t="s">
        <v>44</v>
      </c>
      <c r="J13" s="37">
        <f>Inputs!$I$27</f>
        <v>2</v>
      </c>
      <c r="L13" s="205">
        <f>IF(ISNUMBER($J$13),0,1)</f>
        <v>0</v>
      </c>
      <c r="M13" s="25" t="s">
        <v>103</v>
      </c>
    </row>
    <row r="14" spans="9:38" ht="13.5" customHeight="1">
      <c r="I14" s="7" t="s">
        <v>44</v>
      </c>
      <c r="J14" s="37">
        <f>Inputs!$I$28</f>
        <v>20</v>
      </c>
      <c r="L14" s="205">
        <f>IF($O$8=0,0,1)</f>
        <v>0</v>
      </c>
      <c r="M14" s="25" t="s">
        <v>105</v>
      </c>
    </row>
    <row r="15" spans="9:38" ht="13.5" customHeight="1"/>
    <row r="16" spans="9:38" ht="13.5" customHeight="1">
      <c r="I16" s="7"/>
      <c r="M16" s="25" t="s">
        <v>556</v>
      </c>
      <c r="N16" s="209">
        <f>SUM(O16:AK16)</f>
        <v>2</v>
      </c>
      <c r="O16" s="208">
        <f t="shared" ref="O16:AK16" si="7">IF(AND(O8&gt;=1,O8&lt;=$J$13),1,0)</f>
        <v>0</v>
      </c>
      <c r="P16" s="38">
        <f t="shared" si="7"/>
        <v>1</v>
      </c>
      <c r="Q16" s="38">
        <f t="shared" si="7"/>
        <v>1</v>
      </c>
      <c r="R16" s="38">
        <f t="shared" si="7"/>
        <v>0</v>
      </c>
      <c r="S16" s="38">
        <f t="shared" si="7"/>
        <v>0</v>
      </c>
      <c r="T16" s="38">
        <f t="shared" si="7"/>
        <v>0</v>
      </c>
      <c r="U16" s="38">
        <f t="shared" si="7"/>
        <v>0</v>
      </c>
      <c r="V16" s="38">
        <f t="shared" si="7"/>
        <v>0</v>
      </c>
      <c r="W16" s="38">
        <f t="shared" si="7"/>
        <v>0</v>
      </c>
      <c r="X16" s="38">
        <f t="shared" si="7"/>
        <v>0</v>
      </c>
      <c r="Y16" s="38">
        <f t="shared" si="7"/>
        <v>0</v>
      </c>
      <c r="Z16" s="38">
        <f t="shared" si="7"/>
        <v>0</v>
      </c>
      <c r="AA16" s="38">
        <f t="shared" si="7"/>
        <v>0</v>
      </c>
      <c r="AB16" s="38">
        <f t="shared" si="7"/>
        <v>0</v>
      </c>
      <c r="AC16" s="38">
        <f t="shared" si="7"/>
        <v>0</v>
      </c>
      <c r="AD16" s="38">
        <f t="shared" si="7"/>
        <v>0</v>
      </c>
      <c r="AE16" s="38">
        <f t="shared" si="7"/>
        <v>0</v>
      </c>
      <c r="AF16" s="38">
        <f t="shared" si="7"/>
        <v>0</v>
      </c>
      <c r="AG16" s="38">
        <f t="shared" si="7"/>
        <v>0</v>
      </c>
      <c r="AH16" s="38">
        <f t="shared" si="7"/>
        <v>0</v>
      </c>
      <c r="AI16" s="38">
        <f t="shared" si="7"/>
        <v>0</v>
      </c>
      <c r="AJ16" s="38">
        <f t="shared" si="7"/>
        <v>0</v>
      </c>
      <c r="AK16" s="100">
        <f t="shared" si="7"/>
        <v>0</v>
      </c>
    </row>
    <row r="17" spans="9:37" ht="13.5" customHeight="1">
      <c r="I17" s="7"/>
      <c r="M17" s="25" t="s">
        <v>557</v>
      </c>
      <c r="N17" s="209">
        <f>SUM(O17:AK17)</f>
        <v>20</v>
      </c>
      <c r="O17" s="208">
        <f t="shared" ref="O17:AK17" si="8">IF(AND(O8&gt;$J$13,O8&lt;=$J$13+$J$14),1,0)</f>
        <v>0</v>
      </c>
      <c r="P17" s="38">
        <f t="shared" si="8"/>
        <v>0</v>
      </c>
      <c r="Q17" s="38">
        <f t="shared" si="8"/>
        <v>0</v>
      </c>
      <c r="R17" s="38">
        <f t="shared" si="8"/>
        <v>1</v>
      </c>
      <c r="S17" s="38">
        <f t="shared" si="8"/>
        <v>1</v>
      </c>
      <c r="T17" s="38">
        <f t="shared" si="8"/>
        <v>1</v>
      </c>
      <c r="U17" s="38">
        <f t="shared" si="8"/>
        <v>1</v>
      </c>
      <c r="V17" s="38">
        <f t="shared" si="8"/>
        <v>1</v>
      </c>
      <c r="W17" s="38">
        <f t="shared" si="8"/>
        <v>1</v>
      </c>
      <c r="X17" s="38">
        <f t="shared" si="8"/>
        <v>1</v>
      </c>
      <c r="Y17" s="38">
        <f t="shared" si="8"/>
        <v>1</v>
      </c>
      <c r="Z17" s="38">
        <f t="shared" si="8"/>
        <v>1</v>
      </c>
      <c r="AA17" s="38">
        <f t="shared" si="8"/>
        <v>1</v>
      </c>
      <c r="AB17" s="38">
        <f t="shared" si="8"/>
        <v>1</v>
      </c>
      <c r="AC17" s="38">
        <f t="shared" si="8"/>
        <v>1</v>
      </c>
      <c r="AD17" s="38">
        <f t="shared" si="8"/>
        <v>1</v>
      </c>
      <c r="AE17" s="38">
        <f t="shared" si="8"/>
        <v>1</v>
      </c>
      <c r="AF17" s="38">
        <f t="shared" si="8"/>
        <v>1</v>
      </c>
      <c r="AG17" s="38">
        <f t="shared" si="8"/>
        <v>1</v>
      </c>
      <c r="AH17" s="38">
        <f t="shared" si="8"/>
        <v>1</v>
      </c>
      <c r="AI17" s="38">
        <f t="shared" si="8"/>
        <v>1</v>
      </c>
      <c r="AJ17" s="38">
        <f t="shared" si="8"/>
        <v>1</v>
      </c>
      <c r="AK17" s="100">
        <f t="shared" si="8"/>
        <v>1</v>
      </c>
    </row>
    <row r="18" spans="9:37" ht="13.5" customHeight="1"/>
    <row r="19" spans="9:37" ht="13.5" customHeight="1"/>
    <row r="20" spans="9:37" ht="13.5" customHeight="1"/>
    <row r="21" spans="9:37" ht="13.5" customHeight="1"/>
    <row r="22" spans="9:37" ht="13.5" customHeight="1"/>
    <row r="23" spans="9:37" ht="13.5" customHeight="1"/>
    <row r="24" spans="9:37" ht="13.5" customHeight="1"/>
    <row r="25" spans="9:37" ht="13.5" customHeight="1"/>
    <row r="26" spans="9:37" ht="13.5" customHeight="1"/>
    <row r="27" spans="9:37" ht="13.5" customHeight="1"/>
    <row r="28" spans="9:37" ht="13.5" customHeight="1"/>
    <row r="29" spans="9:37" ht="13.5" customHeight="1"/>
    <row r="30" spans="9:37" ht="13.5" customHeight="1"/>
    <row r="31" spans="9:37" ht="13.5" customHeight="1"/>
    <row r="32" spans="9:37" ht="13.5" customHeight="1"/>
    <row r="33" ht="13.5" customHeight="1"/>
    <row r="34" ht="13.5" customHeight="1"/>
    <row r="35" ht="13.5" customHeight="1"/>
    <row r="36" ht="13.5" customHeight="1"/>
    <row r="37" ht="13.5" customHeight="1"/>
    <row r="38" ht="13.5" customHeight="1"/>
    <row r="39" ht="13.5" customHeight="1"/>
  </sheetData>
  <conditionalFormatting sqref="O16:AK17">
    <cfRule type="cellIs" dxfId="7" priority="2" operator="equal">
      <formula>1</formula>
    </cfRule>
  </conditionalFormatting>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B1:AL29"/>
  <sheetViews>
    <sheetView showGridLines="0" zoomScale="55" zoomScaleNormal="55" workbookViewId="0">
      <pane xSplit="14" ySplit="10" topLeftCell="V11" activePane="bottomRight" state="frozen"/>
      <selection pane="bottomRight" activeCell="L12" sqref="L12"/>
      <selection pane="bottomLeft" activeCell="A11" sqref="A11"/>
      <selection pane="topRight" activeCell="O1" sqref="O1"/>
    </sheetView>
  </sheetViews>
  <sheetFormatPr defaultColWidth="8.7109375" defaultRowHeight="13.15"/>
  <cols>
    <col min="1" max="1" width="2.85546875" style="1" customWidth="1"/>
    <col min="2" max="2" width="3.42578125" style="1" customWidth="1"/>
    <col min="3" max="3" width="3.28515625" style="1" customWidth="1"/>
    <col min="4" max="4" width="3.7109375" style="1" customWidth="1"/>
    <col min="5" max="6" width="13" style="1" customWidth="1"/>
    <col min="7" max="7" width="20.42578125" style="1" customWidth="1"/>
    <col min="8" max="8" width="13" style="1" customWidth="1"/>
    <col min="9" max="9" width="10.85546875" style="1" customWidth="1"/>
    <col min="10" max="10" width="11" style="1" customWidth="1"/>
    <col min="11" max="11" width="9.85546875" style="1" customWidth="1"/>
    <col min="12" max="12" width="11.42578125" style="1" customWidth="1"/>
    <col min="13" max="13" width="22" style="1" customWidth="1"/>
    <col min="14" max="14" width="12.42578125" style="1" customWidth="1"/>
    <col min="15" max="37" width="11" style="1" customWidth="1"/>
    <col min="38" max="38" width="1.42578125" style="355" customWidth="1"/>
    <col min="39" max="16384" width="8.7109375" style="1"/>
  </cols>
  <sheetData>
    <row r="1" spans="7:38" ht="13.5" customHeight="1">
      <c r="AL1" s="354"/>
    </row>
    <row r="2" spans="7:38" ht="13.5" customHeight="1">
      <c r="L2" s="10" t="s">
        <v>546</v>
      </c>
      <c r="M2" s="11" t="s">
        <v>547</v>
      </c>
      <c r="O2" s="91">
        <f>Dates!O2</f>
        <v>46388</v>
      </c>
      <c r="P2" s="92">
        <f>Dates!P2</f>
        <v>46753</v>
      </c>
      <c r="Q2" s="92">
        <f>Dates!Q2</f>
        <v>47119</v>
      </c>
      <c r="R2" s="92">
        <f>Dates!R2</f>
        <v>47484</v>
      </c>
      <c r="S2" s="92">
        <f>Dates!S2</f>
        <v>47849</v>
      </c>
      <c r="T2" s="92">
        <f>Dates!T2</f>
        <v>48214</v>
      </c>
      <c r="U2" s="92">
        <f>Dates!U2</f>
        <v>48580</v>
      </c>
      <c r="V2" s="92">
        <f>Dates!V2</f>
        <v>48945</v>
      </c>
      <c r="W2" s="92">
        <f>Dates!W2</f>
        <v>49310</v>
      </c>
      <c r="X2" s="92">
        <f>Dates!X2</f>
        <v>49675</v>
      </c>
      <c r="Y2" s="92">
        <f>Dates!Y2</f>
        <v>50041</v>
      </c>
      <c r="Z2" s="92">
        <f>Dates!Z2</f>
        <v>50406</v>
      </c>
      <c r="AA2" s="92">
        <f>Dates!AA2</f>
        <v>50771</v>
      </c>
      <c r="AB2" s="92">
        <f>Dates!AB2</f>
        <v>51136</v>
      </c>
      <c r="AC2" s="92">
        <f>Dates!AC2</f>
        <v>51502</v>
      </c>
      <c r="AD2" s="92">
        <f>Dates!AD2</f>
        <v>51867</v>
      </c>
      <c r="AE2" s="92">
        <f>Dates!AE2</f>
        <v>52232</v>
      </c>
      <c r="AF2" s="92">
        <f>Dates!AF2</f>
        <v>52597</v>
      </c>
      <c r="AG2" s="92">
        <f>Dates!AG2</f>
        <v>52963</v>
      </c>
      <c r="AH2" s="92">
        <f>Dates!AH2</f>
        <v>53328</v>
      </c>
      <c r="AI2" s="92">
        <f>Dates!AI2</f>
        <v>53693</v>
      </c>
      <c r="AJ2" s="92">
        <f>Dates!AJ2</f>
        <v>54058</v>
      </c>
      <c r="AK2" s="92">
        <f>Dates!AK2</f>
        <v>54424</v>
      </c>
    </row>
    <row r="3" spans="7:38" ht="13.5" customHeight="1">
      <c r="L3" s="205">
        <f>SUM(L12:L12)</f>
        <v>0</v>
      </c>
      <c r="M3" s="11" t="s">
        <v>548</v>
      </c>
      <c r="O3" s="93">
        <f>Dates!O3</f>
        <v>46752</v>
      </c>
      <c r="P3" s="94">
        <f>Dates!P3</f>
        <v>47118</v>
      </c>
      <c r="Q3" s="94">
        <f>Dates!Q3</f>
        <v>47483</v>
      </c>
      <c r="R3" s="94">
        <f>Dates!R3</f>
        <v>47848</v>
      </c>
      <c r="S3" s="94">
        <f>Dates!S3</f>
        <v>48213</v>
      </c>
      <c r="T3" s="94">
        <f>Dates!T3</f>
        <v>48579</v>
      </c>
      <c r="U3" s="94">
        <f>Dates!U3</f>
        <v>48944</v>
      </c>
      <c r="V3" s="94">
        <f>Dates!V3</f>
        <v>49309</v>
      </c>
      <c r="W3" s="94">
        <f>Dates!W3</f>
        <v>49674</v>
      </c>
      <c r="X3" s="94">
        <f>Dates!X3</f>
        <v>50040</v>
      </c>
      <c r="Y3" s="94">
        <f>Dates!Y3</f>
        <v>50405</v>
      </c>
      <c r="Z3" s="94">
        <f>Dates!Z3</f>
        <v>50770</v>
      </c>
      <c r="AA3" s="94">
        <f>Dates!AA3</f>
        <v>51135</v>
      </c>
      <c r="AB3" s="94">
        <f>Dates!AB3</f>
        <v>51501</v>
      </c>
      <c r="AC3" s="94">
        <f>Dates!AC3</f>
        <v>51866</v>
      </c>
      <c r="AD3" s="94">
        <f>Dates!AD3</f>
        <v>52231</v>
      </c>
      <c r="AE3" s="94">
        <f>Dates!AE3</f>
        <v>52596</v>
      </c>
      <c r="AF3" s="94">
        <f>Dates!AF3</f>
        <v>52962</v>
      </c>
      <c r="AG3" s="94">
        <f>Dates!AG3</f>
        <v>53327</v>
      </c>
      <c r="AH3" s="94">
        <f>Dates!AH3</f>
        <v>53692</v>
      </c>
      <c r="AI3" s="94">
        <f>Dates!AI3</f>
        <v>54057</v>
      </c>
      <c r="AJ3" s="94">
        <f>Dates!AJ3</f>
        <v>54423</v>
      </c>
      <c r="AK3" s="94">
        <f>Dates!AK3</f>
        <v>54788</v>
      </c>
    </row>
    <row r="4" spans="7:38" ht="13.5" customHeight="1">
      <c r="M4" s="11" t="s">
        <v>101</v>
      </c>
      <c r="O4" s="251">
        <f>Dates!O4</f>
        <v>2027</v>
      </c>
      <c r="P4" s="35">
        <f>Dates!P4</f>
        <v>2028</v>
      </c>
      <c r="Q4" s="35">
        <f>Dates!Q4</f>
        <v>2029</v>
      </c>
      <c r="R4" s="35">
        <f>Dates!R4</f>
        <v>2030</v>
      </c>
      <c r="S4" s="35">
        <f>Dates!S4</f>
        <v>2031</v>
      </c>
      <c r="T4" s="35">
        <f>Dates!T4</f>
        <v>2032</v>
      </c>
      <c r="U4" s="35">
        <f>Dates!U4</f>
        <v>2033</v>
      </c>
      <c r="V4" s="35">
        <f>Dates!V4</f>
        <v>2034</v>
      </c>
      <c r="W4" s="35">
        <f>Dates!W4</f>
        <v>2035</v>
      </c>
      <c r="X4" s="35">
        <f>Dates!X4</f>
        <v>2036</v>
      </c>
      <c r="Y4" s="35">
        <f>Dates!Y4</f>
        <v>2037</v>
      </c>
      <c r="Z4" s="35">
        <f>Dates!Z4</f>
        <v>2038</v>
      </c>
      <c r="AA4" s="35">
        <f>Dates!AA4</f>
        <v>2039</v>
      </c>
      <c r="AB4" s="35">
        <f>Dates!AB4</f>
        <v>2040</v>
      </c>
      <c r="AC4" s="35">
        <f>Dates!AC4</f>
        <v>2041</v>
      </c>
      <c r="AD4" s="35">
        <f>Dates!AD4</f>
        <v>2042</v>
      </c>
      <c r="AE4" s="35">
        <f>Dates!AE4</f>
        <v>2043</v>
      </c>
      <c r="AF4" s="35">
        <f>Dates!AF4</f>
        <v>2044</v>
      </c>
      <c r="AG4" s="35">
        <f>Dates!AG4</f>
        <v>2045</v>
      </c>
      <c r="AH4" s="35">
        <f>Dates!AH4</f>
        <v>2046</v>
      </c>
      <c r="AI4" s="35">
        <f>Dates!AI4</f>
        <v>2047</v>
      </c>
      <c r="AJ4" s="35">
        <f>Dates!AJ4</f>
        <v>2048</v>
      </c>
      <c r="AK4" s="35">
        <f>Dates!AK4</f>
        <v>2049</v>
      </c>
    </row>
    <row r="5" spans="7:38" ht="13.5" customHeight="1">
      <c r="M5" s="11" t="s">
        <v>549</v>
      </c>
      <c r="O5" s="316">
        <f>Dates!O5</f>
        <v>365</v>
      </c>
      <c r="P5" s="36">
        <f>Dates!P5</f>
        <v>366</v>
      </c>
      <c r="Q5" s="36">
        <f>Dates!Q5</f>
        <v>365</v>
      </c>
      <c r="R5" s="36">
        <f>Dates!R5</f>
        <v>365</v>
      </c>
      <c r="S5" s="36">
        <f>Dates!S5</f>
        <v>365</v>
      </c>
      <c r="T5" s="36">
        <f>Dates!T5</f>
        <v>366</v>
      </c>
      <c r="U5" s="36">
        <f>Dates!U5</f>
        <v>365</v>
      </c>
      <c r="V5" s="36">
        <f>Dates!V5</f>
        <v>365</v>
      </c>
      <c r="W5" s="36">
        <f>Dates!W5</f>
        <v>365</v>
      </c>
      <c r="X5" s="36">
        <f>Dates!X5</f>
        <v>366</v>
      </c>
      <c r="Y5" s="36">
        <f>Dates!Y5</f>
        <v>365</v>
      </c>
      <c r="Z5" s="36">
        <f>Dates!Z5</f>
        <v>365</v>
      </c>
      <c r="AA5" s="36">
        <f>Dates!AA5</f>
        <v>365</v>
      </c>
      <c r="AB5" s="36">
        <f>Dates!AB5</f>
        <v>366</v>
      </c>
      <c r="AC5" s="36">
        <f>Dates!AC5</f>
        <v>365</v>
      </c>
      <c r="AD5" s="36">
        <f>Dates!AD5</f>
        <v>365</v>
      </c>
      <c r="AE5" s="36">
        <f>Dates!AE5</f>
        <v>365</v>
      </c>
      <c r="AF5" s="36">
        <f>Dates!AF5</f>
        <v>366</v>
      </c>
      <c r="AG5" s="36">
        <f>Dates!AG5</f>
        <v>365</v>
      </c>
      <c r="AH5" s="36">
        <f>Dates!AH5</f>
        <v>365</v>
      </c>
      <c r="AI5" s="36">
        <f>Dates!AI5</f>
        <v>365</v>
      </c>
      <c r="AJ5" s="36">
        <f>Dates!AJ5</f>
        <v>366</v>
      </c>
      <c r="AK5" s="36">
        <f>Dates!AK5</f>
        <v>365</v>
      </c>
    </row>
    <row r="6" spans="7:38" ht="13.5" customHeight="1">
      <c r="M6" s="11" t="s">
        <v>550</v>
      </c>
      <c r="O6" s="316">
        <f>Dates!O6</f>
        <v>365</v>
      </c>
      <c r="P6" s="36">
        <f>Dates!P6</f>
        <v>366</v>
      </c>
      <c r="Q6" s="36">
        <f>Dates!Q6</f>
        <v>365</v>
      </c>
      <c r="R6" s="36">
        <f>Dates!R6</f>
        <v>365</v>
      </c>
      <c r="S6" s="36">
        <f>Dates!S6</f>
        <v>365</v>
      </c>
      <c r="T6" s="36">
        <f>Dates!T6</f>
        <v>366</v>
      </c>
      <c r="U6" s="36">
        <f>Dates!U6</f>
        <v>365</v>
      </c>
      <c r="V6" s="36">
        <f>Dates!V6</f>
        <v>365</v>
      </c>
      <c r="W6" s="36">
        <f>Dates!W6</f>
        <v>365</v>
      </c>
      <c r="X6" s="36">
        <f>Dates!X6</f>
        <v>366</v>
      </c>
      <c r="Y6" s="36">
        <f>Dates!Y6</f>
        <v>365</v>
      </c>
      <c r="Z6" s="36">
        <f>Dates!Z6</f>
        <v>365</v>
      </c>
      <c r="AA6" s="36">
        <f>Dates!AA6</f>
        <v>365</v>
      </c>
      <c r="AB6" s="36">
        <f>Dates!AB6</f>
        <v>366</v>
      </c>
      <c r="AC6" s="36">
        <f>Dates!AC6</f>
        <v>365</v>
      </c>
      <c r="AD6" s="36">
        <f>Dates!AD6</f>
        <v>365</v>
      </c>
      <c r="AE6" s="36">
        <f>Dates!AE6</f>
        <v>365</v>
      </c>
      <c r="AF6" s="36">
        <f>Dates!AF6</f>
        <v>366</v>
      </c>
      <c r="AG6" s="36">
        <f>Dates!AG6</f>
        <v>365</v>
      </c>
      <c r="AH6" s="36">
        <f>Dates!AH6</f>
        <v>365</v>
      </c>
      <c r="AI6" s="36">
        <f>Dates!AI6</f>
        <v>365</v>
      </c>
      <c r="AJ6" s="36">
        <f>Dates!AJ6</f>
        <v>366</v>
      </c>
      <c r="AK6" s="36">
        <f>Dates!AK6</f>
        <v>365</v>
      </c>
    </row>
    <row r="7" spans="7:38" ht="13.5" customHeight="1">
      <c r="M7" s="11" t="s">
        <v>551</v>
      </c>
      <c r="O7" s="251">
        <f>Dates!O7</f>
        <v>12</v>
      </c>
      <c r="P7" s="35">
        <f>Dates!P7</f>
        <v>12</v>
      </c>
      <c r="Q7" s="35">
        <f>Dates!Q7</f>
        <v>12</v>
      </c>
      <c r="R7" s="35">
        <f>Dates!R7</f>
        <v>12</v>
      </c>
      <c r="S7" s="35">
        <f>Dates!S7</f>
        <v>12</v>
      </c>
      <c r="T7" s="35">
        <f>Dates!T7</f>
        <v>12</v>
      </c>
      <c r="U7" s="35">
        <f>Dates!U7</f>
        <v>12</v>
      </c>
      <c r="V7" s="35">
        <f>Dates!V7</f>
        <v>12</v>
      </c>
      <c r="W7" s="35">
        <f>Dates!W7</f>
        <v>12</v>
      </c>
      <c r="X7" s="35">
        <f>Dates!X7</f>
        <v>12</v>
      </c>
      <c r="Y7" s="35">
        <f>Dates!Y7</f>
        <v>12</v>
      </c>
      <c r="Z7" s="35">
        <f>Dates!Z7</f>
        <v>12</v>
      </c>
      <c r="AA7" s="35">
        <f>Dates!AA7</f>
        <v>12</v>
      </c>
      <c r="AB7" s="35">
        <f>Dates!AB7</f>
        <v>12</v>
      </c>
      <c r="AC7" s="35">
        <f>Dates!AC7</f>
        <v>12</v>
      </c>
      <c r="AD7" s="35">
        <f>Dates!AD7</f>
        <v>12</v>
      </c>
      <c r="AE7" s="35">
        <f>Dates!AE7</f>
        <v>12</v>
      </c>
      <c r="AF7" s="35">
        <f>Dates!AF7</f>
        <v>12</v>
      </c>
      <c r="AG7" s="35">
        <f>Dates!AG7</f>
        <v>12</v>
      </c>
      <c r="AH7" s="35">
        <f>Dates!AH7</f>
        <v>12</v>
      </c>
      <c r="AI7" s="35">
        <f>Dates!AI7</f>
        <v>12</v>
      </c>
      <c r="AJ7" s="35">
        <f>Dates!AJ7</f>
        <v>12</v>
      </c>
      <c r="AK7" s="35">
        <f>Dates!AK7</f>
        <v>12</v>
      </c>
    </row>
    <row r="8" spans="7:38" ht="13.5" customHeight="1">
      <c r="M8" s="11" t="s">
        <v>552</v>
      </c>
      <c r="O8" s="97">
        <f>Dates!O8</f>
        <v>0</v>
      </c>
      <c r="P8" s="98">
        <f>Dates!P8</f>
        <v>1</v>
      </c>
      <c r="Q8" s="98">
        <f>Dates!Q8</f>
        <v>2</v>
      </c>
      <c r="R8" s="98">
        <f>Dates!R8</f>
        <v>3</v>
      </c>
      <c r="S8" s="98">
        <f>Dates!S8</f>
        <v>4</v>
      </c>
      <c r="T8" s="98">
        <f>Dates!T8</f>
        <v>5</v>
      </c>
      <c r="U8" s="98">
        <f>Dates!U8</f>
        <v>6</v>
      </c>
      <c r="V8" s="98">
        <f>Dates!V8</f>
        <v>7</v>
      </c>
      <c r="W8" s="98">
        <f>Dates!W8</f>
        <v>8</v>
      </c>
      <c r="X8" s="98">
        <f>Dates!X8</f>
        <v>9</v>
      </c>
      <c r="Y8" s="98">
        <f>Dates!Y8</f>
        <v>10</v>
      </c>
      <c r="Z8" s="98">
        <f>Dates!Z8</f>
        <v>11</v>
      </c>
      <c r="AA8" s="98">
        <f>Dates!AA8</f>
        <v>12</v>
      </c>
      <c r="AB8" s="98">
        <f>Dates!AB8</f>
        <v>13</v>
      </c>
      <c r="AC8" s="98">
        <f>Dates!AC8</f>
        <v>14</v>
      </c>
      <c r="AD8" s="98">
        <f>Dates!AD8</f>
        <v>15</v>
      </c>
      <c r="AE8" s="98">
        <f>Dates!AE8</f>
        <v>16</v>
      </c>
      <c r="AF8" s="98">
        <f>Dates!AF8</f>
        <v>17</v>
      </c>
      <c r="AG8" s="98">
        <f>Dates!AG8</f>
        <v>18</v>
      </c>
      <c r="AH8" s="98">
        <f>Dates!AH8</f>
        <v>19</v>
      </c>
      <c r="AI8" s="98">
        <f>Dates!AI8</f>
        <v>20</v>
      </c>
      <c r="AJ8" s="98">
        <f>Dates!AJ8</f>
        <v>21</v>
      </c>
      <c r="AK8" s="98">
        <f>Dates!AK8</f>
        <v>22</v>
      </c>
    </row>
    <row r="9" spans="7:38" ht="13.5" customHeight="1">
      <c r="O9" s="25"/>
      <c r="P9" s="25"/>
      <c r="Q9" s="25"/>
      <c r="R9" s="25"/>
      <c r="S9" s="25"/>
      <c r="T9" s="25"/>
      <c r="U9" s="25"/>
      <c r="V9" s="25"/>
      <c r="W9" s="25"/>
      <c r="X9" s="25"/>
      <c r="Y9" s="25"/>
      <c r="Z9" s="25"/>
      <c r="AA9" s="25"/>
      <c r="AB9" s="25"/>
      <c r="AC9" s="25"/>
      <c r="AD9" s="25"/>
      <c r="AE9" s="25"/>
      <c r="AF9" s="25"/>
      <c r="AG9" s="25"/>
      <c r="AH9" s="25"/>
      <c r="AI9" s="25"/>
      <c r="AJ9" s="25"/>
      <c r="AK9" s="25"/>
    </row>
    <row r="10" spans="7:38" ht="13.5" customHeight="1">
      <c r="I10" s="7"/>
      <c r="M10" s="25" t="s">
        <v>557</v>
      </c>
      <c r="O10" s="38">
        <f>Dates!O17</f>
        <v>0</v>
      </c>
      <c r="P10" s="38">
        <f>Dates!P17</f>
        <v>0</v>
      </c>
      <c r="Q10" s="38">
        <f>Dates!Q17</f>
        <v>0</v>
      </c>
      <c r="R10" s="38">
        <f>Dates!R17</f>
        <v>1</v>
      </c>
      <c r="S10" s="38">
        <f>Dates!S17</f>
        <v>1</v>
      </c>
      <c r="T10" s="38">
        <f>Dates!T17</f>
        <v>1</v>
      </c>
      <c r="U10" s="38">
        <f>Dates!U17</f>
        <v>1</v>
      </c>
      <c r="V10" s="38">
        <f>Dates!V17</f>
        <v>1</v>
      </c>
      <c r="W10" s="38">
        <f>Dates!W17</f>
        <v>1</v>
      </c>
      <c r="X10" s="38">
        <f>Dates!X17</f>
        <v>1</v>
      </c>
      <c r="Y10" s="38">
        <f>Dates!Y17</f>
        <v>1</v>
      </c>
      <c r="Z10" s="38">
        <f>Dates!Z17</f>
        <v>1</v>
      </c>
      <c r="AA10" s="38">
        <f>Dates!AA17</f>
        <v>1</v>
      </c>
      <c r="AB10" s="38">
        <f>Dates!AB17</f>
        <v>1</v>
      </c>
      <c r="AC10" s="38">
        <f>Dates!AC17</f>
        <v>1</v>
      </c>
      <c r="AD10" s="38">
        <f>Dates!AD17</f>
        <v>1</v>
      </c>
      <c r="AE10" s="38">
        <f>Dates!AE17</f>
        <v>1</v>
      </c>
      <c r="AF10" s="38">
        <f>Dates!AF17</f>
        <v>1</v>
      </c>
      <c r="AG10" s="38">
        <f>Dates!AG17</f>
        <v>1</v>
      </c>
      <c r="AH10" s="38">
        <f>Dates!AH17</f>
        <v>1</v>
      </c>
      <c r="AI10" s="38">
        <f>Dates!AI17</f>
        <v>1</v>
      </c>
      <c r="AJ10" s="38">
        <f>Dates!AJ17</f>
        <v>1</v>
      </c>
      <c r="AK10" s="100">
        <f>Dates!AK17</f>
        <v>1</v>
      </c>
    </row>
    <row r="11" spans="7:38" ht="13.5" customHeight="1">
      <c r="O11" s="25"/>
      <c r="P11" s="25"/>
      <c r="Q11" s="25"/>
      <c r="R11" s="25"/>
      <c r="S11" s="25"/>
      <c r="T11" s="25"/>
      <c r="U11" s="25"/>
      <c r="V11" s="25"/>
      <c r="W11" s="25"/>
      <c r="X11" s="25"/>
      <c r="Y11" s="25"/>
      <c r="Z11" s="25"/>
      <c r="AA11" s="25"/>
      <c r="AB11" s="25"/>
      <c r="AC11" s="25"/>
      <c r="AD11" s="25"/>
      <c r="AE11" s="25"/>
      <c r="AF11" s="25"/>
      <c r="AG11" s="25"/>
      <c r="AH11" s="25"/>
      <c r="AI11" s="25"/>
      <c r="AJ11" s="25"/>
      <c r="AK11" s="25"/>
    </row>
    <row r="12" spans="7:38" ht="13.5" customHeight="1">
      <c r="G12" s="11" t="s">
        <v>558</v>
      </c>
      <c r="I12" s="11" t="s">
        <v>26</v>
      </c>
      <c r="J12" s="10" t="s">
        <v>553</v>
      </c>
      <c r="L12" s="205">
        <f>IF(AND(O18=1,O19=1,O20=1),0,1)</f>
        <v>0</v>
      </c>
      <c r="M12" s="11"/>
    </row>
    <row r="13" spans="7:38" ht="13.5" customHeight="1">
      <c r="G13" s="25" t="s">
        <v>232</v>
      </c>
      <c r="I13" s="7" t="s">
        <v>115</v>
      </c>
      <c r="J13" s="39">
        <f>Inputs!$I$139</f>
        <v>0.02</v>
      </c>
      <c r="M13" s="25"/>
    </row>
    <row r="14" spans="7:38" ht="13.5" customHeight="1">
      <c r="G14" s="25" t="s">
        <v>559</v>
      </c>
      <c r="I14" s="7" t="s">
        <v>115</v>
      </c>
      <c r="J14" s="39">
        <f>Inputs!$I$140</f>
        <v>0.03</v>
      </c>
      <c r="M14" s="25"/>
    </row>
    <row r="15" spans="7:38" ht="13.5" customHeight="1">
      <c r="G15" s="25" t="s">
        <v>560</v>
      </c>
      <c r="I15" s="7" t="s">
        <v>115</v>
      </c>
      <c r="J15" s="39">
        <f>Inputs!$I$141</f>
        <v>0.02</v>
      </c>
      <c r="M15" s="25"/>
    </row>
    <row r="16" spans="7:38" ht="13.5" customHeight="1">
      <c r="G16" s="25" t="s">
        <v>561</v>
      </c>
      <c r="J16" s="39">
        <f>Inputs!I111</f>
        <v>0.01</v>
      </c>
    </row>
    <row r="17" spans="2:37" ht="13.5" customHeight="1">
      <c r="B17" s="14" t="s">
        <v>562</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2:37" ht="13.5" customHeight="1">
      <c r="I18" s="7"/>
      <c r="M18" s="25" t="s">
        <v>563</v>
      </c>
      <c r="O18" s="206">
        <f t="shared" ref="O18:AK18" si="0">(1+$J$13)^O8</f>
        <v>1</v>
      </c>
      <c r="P18" s="206">
        <f t="shared" si="0"/>
        <v>1.02</v>
      </c>
      <c r="Q18" s="206">
        <f t="shared" si="0"/>
        <v>1.0404</v>
      </c>
      <c r="R18" s="206">
        <f t="shared" si="0"/>
        <v>1.0612079999999999</v>
      </c>
      <c r="S18" s="206">
        <f t="shared" si="0"/>
        <v>1.08243216</v>
      </c>
      <c r="T18" s="206">
        <f t="shared" si="0"/>
        <v>1.1040808032</v>
      </c>
      <c r="U18" s="206">
        <f t="shared" si="0"/>
        <v>1.1261624192640001</v>
      </c>
      <c r="V18" s="206">
        <f t="shared" si="0"/>
        <v>1.1486856676492798</v>
      </c>
      <c r="W18" s="206">
        <f t="shared" si="0"/>
        <v>1.1716593810022655</v>
      </c>
      <c r="X18" s="206">
        <f t="shared" si="0"/>
        <v>1.1950925686223108</v>
      </c>
      <c r="Y18" s="206">
        <f t="shared" si="0"/>
        <v>1.2189944199947571</v>
      </c>
      <c r="Z18" s="206">
        <f t="shared" si="0"/>
        <v>1.243374308394652</v>
      </c>
      <c r="AA18" s="206">
        <f t="shared" si="0"/>
        <v>1.2682417945625453</v>
      </c>
      <c r="AB18" s="206">
        <f t="shared" si="0"/>
        <v>1.2936066304537961</v>
      </c>
      <c r="AC18" s="206">
        <f t="shared" si="0"/>
        <v>1.3194787630628722</v>
      </c>
      <c r="AD18" s="206">
        <f t="shared" si="0"/>
        <v>1.3458683383241292</v>
      </c>
      <c r="AE18" s="206">
        <f t="shared" si="0"/>
        <v>1.372785705090612</v>
      </c>
      <c r="AF18" s="206">
        <f t="shared" si="0"/>
        <v>1.4002414191924244</v>
      </c>
      <c r="AG18" s="206">
        <f t="shared" si="0"/>
        <v>1.4282462475762727</v>
      </c>
      <c r="AH18" s="206">
        <f t="shared" si="0"/>
        <v>1.4568111725277981</v>
      </c>
      <c r="AI18" s="206">
        <f t="shared" si="0"/>
        <v>1.4859473959783542</v>
      </c>
      <c r="AJ18" s="206">
        <f t="shared" si="0"/>
        <v>1.5156663438979212</v>
      </c>
      <c r="AK18" s="352">
        <f t="shared" si="0"/>
        <v>1.5459796707758797</v>
      </c>
    </row>
    <row r="19" spans="2:37" ht="13.5" customHeight="1">
      <c r="I19" s="7"/>
      <c r="M19" s="25" t="s">
        <v>564</v>
      </c>
      <c r="O19" s="206">
        <f t="shared" ref="O19:AK19" si="1">(1+$J$14)^O8</f>
        <v>1</v>
      </c>
      <c r="P19" s="206">
        <f t="shared" si="1"/>
        <v>1.03</v>
      </c>
      <c r="Q19" s="206">
        <f t="shared" si="1"/>
        <v>1.0609</v>
      </c>
      <c r="R19" s="206">
        <f t="shared" si="1"/>
        <v>1.092727</v>
      </c>
      <c r="S19" s="206">
        <f t="shared" si="1"/>
        <v>1.1255088099999999</v>
      </c>
      <c r="T19" s="206">
        <f t="shared" si="1"/>
        <v>1.1592740742999998</v>
      </c>
      <c r="U19" s="206">
        <f t="shared" si="1"/>
        <v>1.1940522965289999</v>
      </c>
      <c r="V19" s="206">
        <f t="shared" si="1"/>
        <v>1.22987386542487</v>
      </c>
      <c r="W19" s="206">
        <f t="shared" si="1"/>
        <v>1.2667700813876159</v>
      </c>
      <c r="X19" s="206">
        <f t="shared" si="1"/>
        <v>1.3047731838292445</v>
      </c>
      <c r="Y19" s="206">
        <f t="shared" si="1"/>
        <v>1.3439163793441218</v>
      </c>
      <c r="Z19" s="206">
        <f t="shared" si="1"/>
        <v>1.3842338707244455</v>
      </c>
      <c r="AA19" s="206">
        <f t="shared" si="1"/>
        <v>1.4257608868461786</v>
      </c>
      <c r="AB19" s="206">
        <f t="shared" si="1"/>
        <v>1.4685337134515639</v>
      </c>
      <c r="AC19" s="206">
        <f t="shared" si="1"/>
        <v>1.512589724855111</v>
      </c>
      <c r="AD19" s="206">
        <f t="shared" si="1"/>
        <v>1.5579674166007644</v>
      </c>
      <c r="AE19" s="206">
        <f t="shared" si="1"/>
        <v>1.6047064390987871</v>
      </c>
      <c r="AF19" s="206">
        <f t="shared" si="1"/>
        <v>1.6528476322717507</v>
      </c>
      <c r="AG19" s="206">
        <f t="shared" si="1"/>
        <v>1.7024330612399032</v>
      </c>
      <c r="AH19" s="206">
        <f t="shared" si="1"/>
        <v>1.7535060530771003</v>
      </c>
      <c r="AI19" s="206">
        <f t="shared" si="1"/>
        <v>1.8061112346694133</v>
      </c>
      <c r="AJ19" s="206">
        <f t="shared" si="1"/>
        <v>1.8602945717094954</v>
      </c>
      <c r="AK19" s="352">
        <f t="shared" si="1"/>
        <v>1.9161034088607805</v>
      </c>
    </row>
    <row r="20" spans="2:37" ht="13.5" customHeight="1">
      <c r="I20" s="7"/>
      <c r="M20" s="25" t="s">
        <v>565</v>
      </c>
      <c r="O20" s="206">
        <f t="shared" ref="O20:AK20" si="2">(1+$J$15)^O8</f>
        <v>1</v>
      </c>
      <c r="P20" s="206">
        <f t="shared" si="2"/>
        <v>1.02</v>
      </c>
      <c r="Q20" s="206">
        <f t="shared" si="2"/>
        <v>1.0404</v>
      </c>
      <c r="R20" s="206">
        <f t="shared" si="2"/>
        <v>1.0612079999999999</v>
      </c>
      <c r="S20" s="206">
        <f t="shared" si="2"/>
        <v>1.08243216</v>
      </c>
      <c r="T20" s="206">
        <f t="shared" si="2"/>
        <v>1.1040808032</v>
      </c>
      <c r="U20" s="206">
        <f t="shared" si="2"/>
        <v>1.1261624192640001</v>
      </c>
      <c r="V20" s="206">
        <f t="shared" si="2"/>
        <v>1.1486856676492798</v>
      </c>
      <c r="W20" s="206">
        <f t="shared" si="2"/>
        <v>1.1716593810022655</v>
      </c>
      <c r="X20" s="206">
        <f t="shared" si="2"/>
        <v>1.1950925686223108</v>
      </c>
      <c r="Y20" s="206">
        <f t="shared" si="2"/>
        <v>1.2189944199947571</v>
      </c>
      <c r="Z20" s="206">
        <f t="shared" si="2"/>
        <v>1.243374308394652</v>
      </c>
      <c r="AA20" s="206">
        <f t="shared" si="2"/>
        <v>1.2682417945625453</v>
      </c>
      <c r="AB20" s="206">
        <f t="shared" si="2"/>
        <v>1.2936066304537961</v>
      </c>
      <c r="AC20" s="206">
        <f t="shared" si="2"/>
        <v>1.3194787630628722</v>
      </c>
      <c r="AD20" s="206">
        <f t="shared" si="2"/>
        <v>1.3458683383241292</v>
      </c>
      <c r="AE20" s="206">
        <f t="shared" si="2"/>
        <v>1.372785705090612</v>
      </c>
      <c r="AF20" s="206">
        <f t="shared" si="2"/>
        <v>1.4002414191924244</v>
      </c>
      <c r="AG20" s="206">
        <f t="shared" si="2"/>
        <v>1.4282462475762727</v>
      </c>
      <c r="AH20" s="206">
        <f t="shared" si="2"/>
        <v>1.4568111725277981</v>
      </c>
      <c r="AI20" s="206">
        <f t="shared" si="2"/>
        <v>1.4859473959783542</v>
      </c>
      <c r="AJ20" s="206">
        <f t="shared" si="2"/>
        <v>1.5156663438979212</v>
      </c>
      <c r="AK20" s="352">
        <f t="shared" si="2"/>
        <v>1.5459796707758797</v>
      </c>
    </row>
    <row r="21" spans="2:37" ht="13.5" customHeight="1">
      <c r="M21" s="25" t="s">
        <v>566</v>
      </c>
      <c r="O21" s="207">
        <f t="shared" ref="O21:AK21" si="3">(1+$J$16)^O8</f>
        <v>1</v>
      </c>
      <c r="P21" s="207">
        <f t="shared" si="3"/>
        <v>1.01</v>
      </c>
      <c r="Q21" s="207">
        <f t="shared" si="3"/>
        <v>1.0201</v>
      </c>
      <c r="R21" s="207">
        <f t="shared" si="3"/>
        <v>1.0303009999999999</v>
      </c>
      <c r="S21" s="207">
        <f t="shared" si="3"/>
        <v>1.04060401</v>
      </c>
      <c r="T21" s="207">
        <f t="shared" si="3"/>
        <v>1.0510100500999999</v>
      </c>
      <c r="U21" s="207">
        <f t="shared" si="3"/>
        <v>1.0615201506010001</v>
      </c>
      <c r="V21" s="207">
        <f t="shared" si="3"/>
        <v>1.0721353521070098</v>
      </c>
      <c r="W21" s="207">
        <f t="shared" si="3"/>
        <v>1.0828567056280802</v>
      </c>
      <c r="X21" s="207">
        <f t="shared" si="3"/>
        <v>1.0936852726843611</v>
      </c>
      <c r="Y21" s="207">
        <f t="shared" si="3"/>
        <v>1.1046221254112047</v>
      </c>
      <c r="Z21" s="207">
        <f t="shared" si="3"/>
        <v>1.1156683466653166</v>
      </c>
      <c r="AA21" s="207">
        <f t="shared" si="3"/>
        <v>1.1268250301319698</v>
      </c>
      <c r="AB21" s="207">
        <f t="shared" si="3"/>
        <v>1.1380932804332895</v>
      </c>
      <c r="AC21" s="207">
        <f t="shared" si="3"/>
        <v>1.1494742132376226</v>
      </c>
      <c r="AD21" s="207">
        <f t="shared" si="3"/>
        <v>1.1609689553699984</v>
      </c>
      <c r="AE21" s="207">
        <f t="shared" si="3"/>
        <v>1.1725786449236988</v>
      </c>
      <c r="AF21" s="207">
        <f t="shared" si="3"/>
        <v>1.1843044313729358</v>
      </c>
      <c r="AG21" s="207">
        <f t="shared" si="3"/>
        <v>1.1961474756866652</v>
      </c>
      <c r="AH21" s="207">
        <f t="shared" si="3"/>
        <v>1.2081089504435316</v>
      </c>
      <c r="AI21" s="207">
        <f t="shared" si="3"/>
        <v>1.220190039947967</v>
      </c>
      <c r="AJ21" s="207">
        <f t="shared" si="3"/>
        <v>1.2323919403474466</v>
      </c>
      <c r="AK21" s="353">
        <f t="shared" si="3"/>
        <v>1.2447158597509214</v>
      </c>
    </row>
    <row r="22" spans="2:37" ht="13.5" customHeight="1"/>
    <row r="23" spans="2:37" ht="13.5" customHeight="1"/>
    <row r="24" spans="2:37" ht="13.5" customHeight="1"/>
    <row r="25" spans="2:37" ht="13.5" customHeight="1"/>
    <row r="26" spans="2:37" ht="13.5" customHeight="1"/>
    <row r="27" spans="2:37" ht="13.5" customHeight="1"/>
    <row r="28" spans="2:37" ht="13.5" customHeight="1"/>
    <row r="29" spans="2:37" ht="13.5" customHeight="1"/>
  </sheetData>
  <conditionalFormatting sqref="O10:AK10">
    <cfRule type="cellIs" dxfId="6" priority="1" operator="equal">
      <formula>1</formula>
    </cfRule>
  </conditionalFormatting>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AH76"/>
  <sheetViews>
    <sheetView showGridLines="0" zoomScale="55" zoomScaleNormal="55" workbookViewId="0">
      <pane xSplit="10" ySplit="12" topLeftCell="K52" activePane="bottomRight" state="frozen"/>
      <selection pane="bottomRight" activeCell="L75" sqref="L75"/>
      <selection pane="bottomLeft" activeCell="A32" sqref="A32"/>
      <selection pane="topRight" activeCell="K1" sqref="K1"/>
    </sheetView>
  </sheetViews>
  <sheetFormatPr defaultColWidth="8.7109375" defaultRowHeight="14.25"/>
  <cols>
    <col min="1" max="1" width="2.85546875" customWidth="1"/>
    <col min="2" max="2" width="3.42578125" customWidth="1"/>
    <col min="3" max="3" width="11.42578125" customWidth="1"/>
    <col min="4" max="4" width="3.7109375" customWidth="1"/>
    <col min="5" max="5" width="44.7109375" customWidth="1"/>
    <col min="6" max="6" width="13.85546875" customWidth="1"/>
    <col min="7" max="7" width="13" customWidth="1"/>
    <col min="8" max="8" width="9" customWidth="1"/>
    <col min="9" max="9" width="17.5703125" customWidth="1"/>
    <col min="10" max="10" width="21.5703125" customWidth="1"/>
    <col min="11" max="11" width="11.42578125" customWidth="1"/>
    <col min="12" max="33" width="9.85546875" customWidth="1"/>
    <col min="34" max="34" width="1.5703125" style="89" customWidth="1"/>
  </cols>
  <sheetData>
    <row r="1" spans="2:34" ht="14.25" customHeight="1">
      <c r="AH1" s="128"/>
    </row>
    <row r="2" spans="2:34" ht="21" customHeight="1">
      <c r="C2" s="318"/>
      <c r="E2" s="11"/>
      <c r="F2" s="149" t="s">
        <v>546</v>
      </c>
      <c r="G2" s="90">
        <f>SUM(H14:H58)</f>
        <v>0</v>
      </c>
    </row>
    <row r="3" spans="2:34" ht="14.25" customHeight="1">
      <c r="C3" s="88" t="s">
        <v>567</v>
      </c>
      <c r="D3" s="317" t="str">
        <f>'Control Panel'!D7&amp;":"&amp;'Control Panel'!D6</f>
        <v>Cascade geothermal:Base</v>
      </c>
      <c r="E3" s="11"/>
      <c r="I3" s="11"/>
      <c r="J3" s="11" t="s">
        <v>568</v>
      </c>
      <c r="K3" s="91">
        <f>Dates!O2</f>
        <v>46388</v>
      </c>
      <c r="L3" s="92">
        <f>Dates!P2</f>
        <v>46753</v>
      </c>
      <c r="M3" s="92">
        <f>Dates!Q2</f>
        <v>47119</v>
      </c>
      <c r="N3" s="92">
        <f>Dates!R2</f>
        <v>47484</v>
      </c>
      <c r="O3" s="92">
        <f>Dates!S2</f>
        <v>47849</v>
      </c>
      <c r="P3" s="92">
        <f>Dates!T2</f>
        <v>48214</v>
      </c>
      <c r="Q3" s="92">
        <f>Dates!U2</f>
        <v>48580</v>
      </c>
      <c r="R3" s="92">
        <f>Dates!V2</f>
        <v>48945</v>
      </c>
      <c r="S3" s="92">
        <f>Dates!W2</f>
        <v>49310</v>
      </c>
      <c r="T3" s="92">
        <f>Dates!X2</f>
        <v>49675</v>
      </c>
      <c r="U3" s="92">
        <f>Dates!Y2</f>
        <v>50041</v>
      </c>
      <c r="V3" s="92">
        <f>Dates!Z2</f>
        <v>50406</v>
      </c>
      <c r="W3" s="92">
        <f>Dates!AA2</f>
        <v>50771</v>
      </c>
      <c r="X3" s="92">
        <f>Dates!AB2</f>
        <v>51136</v>
      </c>
      <c r="Y3" s="92">
        <f>Dates!AC2</f>
        <v>51502</v>
      </c>
      <c r="Z3" s="92">
        <f>Dates!AD2</f>
        <v>51867</v>
      </c>
      <c r="AA3" s="92">
        <f>Dates!AE2</f>
        <v>52232</v>
      </c>
      <c r="AB3" s="92">
        <f>Dates!AF2</f>
        <v>52597</v>
      </c>
      <c r="AC3" s="92">
        <f>Dates!AG2</f>
        <v>52963</v>
      </c>
      <c r="AD3" s="92">
        <f>Dates!AH2</f>
        <v>53328</v>
      </c>
      <c r="AE3" s="92">
        <f>Dates!AI2</f>
        <v>53693</v>
      </c>
      <c r="AF3" s="92">
        <f>Dates!AJ2</f>
        <v>54058</v>
      </c>
      <c r="AG3" s="92">
        <f>Dates!AK2</f>
        <v>54424</v>
      </c>
    </row>
    <row r="4" spans="2:34" ht="14.25" customHeight="1">
      <c r="E4" s="11"/>
      <c r="I4" s="11"/>
      <c r="J4" s="11" t="s">
        <v>569</v>
      </c>
      <c r="K4" s="93">
        <f>Dates!O3</f>
        <v>46752</v>
      </c>
      <c r="L4" s="94">
        <f>Dates!P3</f>
        <v>47118</v>
      </c>
      <c r="M4" s="94">
        <f>Dates!Q3</f>
        <v>47483</v>
      </c>
      <c r="N4" s="94">
        <f>Dates!R3</f>
        <v>47848</v>
      </c>
      <c r="O4" s="94">
        <f>Dates!S3</f>
        <v>48213</v>
      </c>
      <c r="P4" s="94">
        <f>Dates!T3</f>
        <v>48579</v>
      </c>
      <c r="Q4" s="94">
        <f>Dates!U3</f>
        <v>48944</v>
      </c>
      <c r="R4" s="94">
        <f>Dates!V3</f>
        <v>49309</v>
      </c>
      <c r="S4" s="94">
        <f>Dates!W3</f>
        <v>49674</v>
      </c>
      <c r="T4" s="94">
        <f>Dates!X3</f>
        <v>50040</v>
      </c>
      <c r="U4" s="94">
        <f>Dates!Y3</f>
        <v>50405</v>
      </c>
      <c r="V4" s="94">
        <f>Dates!Z3</f>
        <v>50770</v>
      </c>
      <c r="W4" s="94">
        <f>Dates!AA3</f>
        <v>51135</v>
      </c>
      <c r="X4" s="94">
        <f>Dates!AB3</f>
        <v>51501</v>
      </c>
      <c r="Y4" s="94">
        <f>Dates!AC3</f>
        <v>51866</v>
      </c>
      <c r="Z4" s="94">
        <f>Dates!AD3</f>
        <v>52231</v>
      </c>
      <c r="AA4" s="94">
        <f>Dates!AE3</f>
        <v>52596</v>
      </c>
      <c r="AB4" s="94">
        <f>Dates!AF3</f>
        <v>52962</v>
      </c>
      <c r="AC4" s="94">
        <f>Dates!AG3</f>
        <v>53327</v>
      </c>
      <c r="AD4" s="94">
        <f>Dates!AH3</f>
        <v>53692</v>
      </c>
      <c r="AE4" s="94">
        <f>Dates!AI3</f>
        <v>54057</v>
      </c>
      <c r="AF4" s="94">
        <f>Dates!AJ3</f>
        <v>54423</v>
      </c>
      <c r="AG4" s="94">
        <f>Dates!AK3</f>
        <v>54788</v>
      </c>
    </row>
    <row r="5" spans="2:34" ht="14.25" customHeight="1">
      <c r="E5" s="11"/>
      <c r="I5" s="11"/>
      <c r="J5" s="11" t="s">
        <v>101</v>
      </c>
      <c r="K5" s="251">
        <f>Dates!O4</f>
        <v>2027</v>
      </c>
      <c r="L5" s="35">
        <f>Dates!P4</f>
        <v>2028</v>
      </c>
      <c r="M5" s="35">
        <f>Dates!Q4</f>
        <v>2029</v>
      </c>
      <c r="N5" s="35">
        <f>Dates!R4</f>
        <v>2030</v>
      </c>
      <c r="O5" s="35">
        <f>Dates!S4</f>
        <v>2031</v>
      </c>
      <c r="P5" s="35">
        <f>Dates!T4</f>
        <v>2032</v>
      </c>
      <c r="Q5" s="35">
        <f>Dates!U4</f>
        <v>2033</v>
      </c>
      <c r="R5" s="35">
        <f>Dates!V4</f>
        <v>2034</v>
      </c>
      <c r="S5" s="35">
        <f>Dates!W4</f>
        <v>2035</v>
      </c>
      <c r="T5" s="35">
        <f>Dates!X4</f>
        <v>2036</v>
      </c>
      <c r="U5" s="35">
        <f>Dates!Y4</f>
        <v>2037</v>
      </c>
      <c r="V5" s="35">
        <f>Dates!Z4</f>
        <v>2038</v>
      </c>
      <c r="W5" s="35">
        <f>Dates!AA4</f>
        <v>2039</v>
      </c>
      <c r="X5" s="35">
        <f>Dates!AB4</f>
        <v>2040</v>
      </c>
      <c r="Y5" s="35">
        <f>Dates!AC4</f>
        <v>2041</v>
      </c>
      <c r="Z5" s="35">
        <f>Dates!AD4</f>
        <v>2042</v>
      </c>
      <c r="AA5" s="35">
        <f>Dates!AE4</f>
        <v>2043</v>
      </c>
      <c r="AB5" s="35">
        <f>Dates!AF4</f>
        <v>2044</v>
      </c>
      <c r="AC5" s="35">
        <f>Dates!AG4</f>
        <v>2045</v>
      </c>
      <c r="AD5" s="35">
        <f>Dates!AH4</f>
        <v>2046</v>
      </c>
      <c r="AE5" s="35">
        <f>Dates!AI4</f>
        <v>2047</v>
      </c>
      <c r="AF5" s="35">
        <f>Dates!AJ4</f>
        <v>2048</v>
      </c>
      <c r="AG5" s="35">
        <f>Dates!AK4</f>
        <v>2049</v>
      </c>
    </row>
    <row r="6" spans="2:34" ht="14.25" customHeight="1">
      <c r="E6" s="11"/>
      <c r="I6" s="11"/>
      <c r="J6" s="11" t="s">
        <v>570</v>
      </c>
      <c r="K6" s="97">
        <f>Dates!O8</f>
        <v>0</v>
      </c>
      <c r="L6" s="98">
        <f>Dates!P8</f>
        <v>1</v>
      </c>
      <c r="M6" s="98">
        <f>Dates!Q8</f>
        <v>2</v>
      </c>
      <c r="N6" s="98">
        <f>Dates!R8</f>
        <v>3</v>
      </c>
      <c r="O6" s="98">
        <f>Dates!S8</f>
        <v>4</v>
      </c>
      <c r="P6" s="98">
        <f>Dates!T8</f>
        <v>5</v>
      </c>
      <c r="Q6" s="98">
        <f>Dates!U8</f>
        <v>6</v>
      </c>
      <c r="R6" s="98">
        <f>Dates!V8</f>
        <v>7</v>
      </c>
      <c r="S6" s="98">
        <f>Dates!W8</f>
        <v>8</v>
      </c>
      <c r="T6" s="98">
        <f>Dates!X8</f>
        <v>9</v>
      </c>
      <c r="U6" s="98">
        <f>Dates!Y8</f>
        <v>10</v>
      </c>
      <c r="V6" s="98">
        <f>Dates!Z8</f>
        <v>11</v>
      </c>
      <c r="W6" s="98">
        <f>Dates!AA8</f>
        <v>12</v>
      </c>
      <c r="X6" s="98">
        <f>Dates!AB8</f>
        <v>13</v>
      </c>
      <c r="Y6" s="98">
        <f>Dates!AC8</f>
        <v>14</v>
      </c>
      <c r="Z6" s="98">
        <f>Dates!AD8</f>
        <v>15</v>
      </c>
      <c r="AA6" s="98">
        <f>Dates!AE8</f>
        <v>16</v>
      </c>
      <c r="AB6" s="98">
        <f>Dates!AF8</f>
        <v>17</v>
      </c>
      <c r="AC6" s="98">
        <f>Dates!AG8</f>
        <v>18</v>
      </c>
      <c r="AD6" s="98">
        <f>Dates!AH8</f>
        <v>19</v>
      </c>
      <c r="AE6" s="98">
        <f>Dates!AI8</f>
        <v>20</v>
      </c>
      <c r="AF6" s="98">
        <f>Dates!AJ8</f>
        <v>21</v>
      </c>
      <c r="AG6" s="98">
        <f>Dates!AK8</f>
        <v>22</v>
      </c>
    </row>
    <row r="8" spans="2:34" ht="14.25" customHeight="1">
      <c r="B8" s="40"/>
      <c r="C8" s="14" t="s">
        <v>571</v>
      </c>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row>
    <row r="9" spans="2:34" ht="14.25" customHeight="1">
      <c r="C9" s="11" t="s">
        <v>572</v>
      </c>
    </row>
    <row r="10" spans="2:34" ht="14.25" customHeight="1">
      <c r="E10" s="25" t="s">
        <v>556</v>
      </c>
      <c r="F10" s="7" t="s">
        <v>573</v>
      </c>
      <c r="K10" s="38">
        <f>Dates!O16</f>
        <v>0</v>
      </c>
      <c r="L10" s="38">
        <f>Dates!P16</f>
        <v>1</v>
      </c>
      <c r="M10" s="38">
        <f>Dates!Q16</f>
        <v>1</v>
      </c>
      <c r="N10" s="38">
        <f>Dates!R16</f>
        <v>0</v>
      </c>
      <c r="O10" s="38">
        <f>Dates!S16</f>
        <v>0</v>
      </c>
      <c r="P10" s="38">
        <f>Dates!T16</f>
        <v>0</v>
      </c>
      <c r="Q10" s="38">
        <f>Dates!U16</f>
        <v>0</v>
      </c>
      <c r="R10" s="38">
        <f>Dates!V16</f>
        <v>0</v>
      </c>
      <c r="S10" s="38">
        <f>Dates!W16</f>
        <v>0</v>
      </c>
      <c r="T10" s="38">
        <f>Dates!X16</f>
        <v>0</v>
      </c>
      <c r="U10" s="38">
        <f>Dates!Y16</f>
        <v>0</v>
      </c>
      <c r="V10" s="38">
        <f>Dates!Z16</f>
        <v>0</v>
      </c>
      <c r="W10" s="38">
        <f>Dates!AA16</f>
        <v>0</v>
      </c>
      <c r="X10" s="38">
        <f>Dates!AB16</f>
        <v>0</v>
      </c>
      <c r="Y10" s="38">
        <f>Dates!AC16</f>
        <v>0</v>
      </c>
      <c r="Z10" s="38">
        <f>Dates!AD16</f>
        <v>0</v>
      </c>
      <c r="AA10" s="38">
        <f>Dates!AE16</f>
        <v>0</v>
      </c>
      <c r="AB10" s="38">
        <f>Dates!AF16</f>
        <v>0</v>
      </c>
      <c r="AC10" s="38">
        <f>Dates!AG16</f>
        <v>0</v>
      </c>
      <c r="AD10" s="38">
        <f>Dates!AH16</f>
        <v>0</v>
      </c>
      <c r="AE10" s="38">
        <f>Dates!AI16</f>
        <v>0</v>
      </c>
      <c r="AF10" s="38">
        <f>Dates!AJ16</f>
        <v>0</v>
      </c>
      <c r="AG10" s="100">
        <f>Dates!AK16</f>
        <v>0</v>
      </c>
    </row>
    <row r="11" spans="2:34" ht="14.25" customHeight="1">
      <c r="E11" s="25" t="s">
        <v>574</v>
      </c>
      <c r="F11" s="7" t="s">
        <v>55</v>
      </c>
      <c r="I11" s="109">
        <f>SUM(K10:AG10)</f>
        <v>2</v>
      </c>
    </row>
    <row r="12" spans="2:34" ht="14.25" customHeight="1">
      <c r="E12" s="25"/>
      <c r="G12" s="33"/>
    </row>
    <row r="13" spans="2:34" ht="14.25" customHeight="1">
      <c r="B13" s="40"/>
      <c r="C13" s="14" t="s">
        <v>575</v>
      </c>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row>
    <row r="15" spans="2:34" ht="14.25" customHeight="1">
      <c r="E15" s="25" t="s">
        <v>576</v>
      </c>
      <c r="F15" s="7" t="str">
        <f>Inputs!$D$7</f>
        <v>HUF</v>
      </c>
      <c r="G15" s="231">
        <f>Inputs!$I$52*Inputs!$I$49*Inputs!$I$50</f>
        <v>252000</v>
      </c>
    </row>
    <row r="16" spans="2:34" ht="14.25" customHeight="1">
      <c r="E16" s="25" t="s">
        <v>577</v>
      </c>
      <c r="F16" s="7" t="str">
        <f>Inputs!$D$7</f>
        <v>HUF</v>
      </c>
      <c r="G16" s="231">
        <f>Inputs!$I$44*Inputs!$I$55*Inputs!$I$39</f>
        <v>24004.32</v>
      </c>
    </row>
    <row r="17" spans="2:33" ht="14.25" customHeight="1">
      <c r="E17" s="25" t="s">
        <v>60</v>
      </c>
      <c r="F17" s="7" t="str">
        <f>Inputs!$D$7</f>
        <v>HUF</v>
      </c>
      <c r="G17" s="231">
        <f>IF(Inputs!$I$56="Yes",Inputs!$I$52*Inputs!$I$57,0)</f>
        <v>0</v>
      </c>
    </row>
    <row r="18" spans="2:33" ht="14.25" customHeight="1">
      <c r="E18" s="25" t="s">
        <v>578</v>
      </c>
      <c r="F18" s="7" t="str">
        <f>Inputs!$D$7</f>
        <v>HUF</v>
      </c>
      <c r="G18" s="231">
        <f>IF(Inputs!$I$19="Yes",Inputs!$I$60*Inputs!$I$62,0)</f>
        <v>0</v>
      </c>
    </row>
    <row r="19" spans="2:33" ht="14.25" customHeight="1">
      <c r="E19" s="25" t="s">
        <v>579</v>
      </c>
      <c r="F19" s="7" t="str">
        <f>Inputs!$D$7</f>
        <v>HUF</v>
      </c>
      <c r="G19" s="231">
        <f>IF(Inputs!$I$20="Yes",Inputs!$I$68*Inputs!$I$69,0)</f>
        <v>80000</v>
      </c>
    </row>
    <row r="20" spans="2:33" ht="14.25" customHeight="1">
      <c r="E20" s="25" t="s">
        <v>580</v>
      </c>
      <c r="F20" s="7" t="str">
        <f>Inputs!$D$7</f>
        <v>HUF</v>
      </c>
      <c r="G20" s="253">
        <f>IF(Inputs!$I$159="Yes",Inputs!$I$164*Inputs!$I$163,0)</f>
        <v>0</v>
      </c>
    </row>
    <row r="21" spans="2:33" ht="14.25" customHeight="1">
      <c r="E21" s="112" t="s">
        <v>581</v>
      </c>
      <c r="F21" s="107" t="str">
        <f>Inputs!$D$7</f>
        <v>HUF</v>
      </c>
      <c r="G21" s="254">
        <f>SUM(G15:G20)</f>
        <v>356004.32</v>
      </c>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row>
    <row r="22" spans="2:33" ht="14.25" customHeight="1">
      <c r="B22" s="40"/>
      <c r="C22" s="14" t="s">
        <v>148</v>
      </c>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row>
    <row r="24" spans="2:33" ht="14.25" customHeight="1">
      <c r="E24" s="25" t="s">
        <v>582</v>
      </c>
      <c r="F24" s="7" t="s">
        <v>150</v>
      </c>
      <c r="G24" s="227">
        <f>Inputs!$I$73</f>
        <v>500</v>
      </c>
    </row>
    <row r="25" spans="2:33" ht="14.25" customHeight="1">
      <c r="E25" s="25" t="s">
        <v>154</v>
      </c>
      <c r="F25" s="7" t="s">
        <v>583</v>
      </c>
      <c r="G25" s="227">
        <f>Inputs!$I$75</f>
        <v>175</v>
      </c>
    </row>
    <row r="26" spans="2:33" ht="14.25" customHeight="1">
      <c r="E26" s="25" t="s">
        <v>584</v>
      </c>
      <c r="F26" s="7" t="s">
        <v>583</v>
      </c>
      <c r="G26" s="227">
        <f>Inputs!$I$76</f>
        <v>50</v>
      </c>
    </row>
    <row r="27" spans="2:33" ht="14.25" customHeight="1">
      <c r="E27" s="25" t="s">
        <v>585</v>
      </c>
      <c r="F27" s="7" t="str">
        <f>Inputs!$D$7</f>
        <v>HUF</v>
      </c>
      <c r="G27" s="231">
        <f>G24*(G25+G26)</f>
        <v>112500</v>
      </c>
    </row>
    <row r="28" spans="2:33" ht="14.25" customHeight="1">
      <c r="E28" s="25" t="s">
        <v>158</v>
      </c>
      <c r="F28" s="7" t="str">
        <f>Inputs!$D$7</f>
        <v>HUF</v>
      </c>
      <c r="G28" s="231">
        <f>Inputs!$I$78</f>
        <v>40000</v>
      </c>
    </row>
    <row r="29" spans="2:33" ht="14.25" customHeight="1">
      <c r="E29" s="25" t="s">
        <v>160</v>
      </c>
      <c r="F29" s="7" t="str">
        <f>Inputs!$D$7</f>
        <v>HUF</v>
      </c>
      <c r="G29" s="231">
        <f>Inputs!$I$79</f>
        <v>60000</v>
      </c>
    </row>
    <row r="30" spans="2:33" ht="14.25" customHeight="1">
      <c r="E30" s="25" t="s">
        <v>586</v>
      </c>
      <c r="F30" s="7" t="str">
        <f>Inputs!$D$7</f>
        <v>HUF</v>
      </c>
      <c r="G30" s="231">
        <f>Inputs!$I$80</f>
        <v>20000</v>
      </c>
    </row>
    <row r="31" spans="2:33" ht="14.25" customHeight="1">
      <c r="E31" s="25" t="s">
        <v>587</v>
      </c>
      <c r="F31" s="7" t="str">
        <f>Inputs!$D$7</f>
        <v>HUF</v>
      </c>
      <c r="G31" s="253">
        <f>Inputs!$I$74</f>
        <v>0</v>
      </c>
    </row>
    <row r="32" spans="2:33" ht="14.25" customHeight="1">
      <c r="E32" s="112" t="s">
        <v>588</v>
      </c>
      <c r="F32" s="107" t="str">
        <f>Inputs!$D$7</f>
        <v>HUF</v>
      </c>
      <c r="G32" s="254">
        <f>SUM(G27:G31)</f>
        <v>232500</v>
      </c>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row>
    <row r="34" spans="2:33" ht="14.25" customHeight="1">
      <c r="B34" s="40"/>
      <c r="C34" s="14" t="s">
        <v>589</v>
      </c>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row>
    <row r="36" spans="2:33" ht="14.25" customHeight="1">
      <c r="E36" s="25" t="s">
        <v>590</v>
      </c>
      <c r="F36" s="7" t="str">
        <f>Inputs!$D$7</f>
        <v>HUF</v>
      </c>
      <c r="G36" s="231">
        <f>G21+G32</f>
        <v>588504.32000000007</v>
      </c>
    </row>
    <row r="37" spans="2:33" ht="14.25" customHeight="1">
      <c r="E37" s="25" t="s">
        <v>591</v>
      </c>
      <c r="F37" s="7" t="s">
        <v>165</v>
      </c>
      <c r="G37" s="226">
        <f>Inputs!$I$81</f>
        <v>0.08</v>
      </c>
    </row>
    <row r="38" spans="2:33" ht="14.25" customHeight="1">
      <c r="E38" s="25" t="s">
        <v>592</v>
      </c>
      <c r="F38" s="7" t="s">
        <v>165</v>
      </c>
      <c r="G38" s="226">
        <f>Inputs!$I$82</f>
        <v>0.1</v>
      </c>
    </row>
    <row r="39" spans="2:33" ht="14.25" customHeight="1">
      <c r="E39" s="25" t="s">
        <v>164</v>
      </c>
      <c r="F39" s="7" t="str">
        <f>Inputs!$D$7</f>
        <v>HUF</v>
      </c>
      <c r="G39" s="231">
        <f>G36*G37</f>
        <v>47080.345600000008</v>
      </c>
    </row>
    <row r="40" spans="2:33" ht="14.25" customHeight="1">
      <c r="E40" s="25" t="s">
        <v>167</v>
      </c>
      <c r="F40" s="7" t="str">
        <f>Inputs!$D$7</f>
        <v>HUF</v>
      </c>
      <c r="G40" s="253">
        <f>G36*G38</f>
        <v>58850.432000000008</v>
      </c>
    </row>
    <row r="41" spans="2:33" ht="14.25" customHeight="1">
      <c r="E41" s="112" t="s">
        <v>593</v>
      </c>
      <c r="F41" s="107" t="str">
        <f>Inputs!$D$7</f>
        <v>HUF</v>
      </c>
      <c r="G41" s="254">
        <f>G39+G40</f>
        <v>105930.77760000002</v>
      </c>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row>
    <row r="43" spans="2:33" ht="14.25" customHeight="1">
      <c r="B43" s="40"/>
      <c r="C43" s="14" t="s">
        <v>594</v>
      </c>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row>
    <row r="45" spans="2:33" ht="14.25" customHeight="1">
      <c r="E45" s="25" t="s">
        <v>595</v>
      </c>
      <c r="F45" s="7" t="str">
        <f>Inputs!$D$7</f>
        <v>HUF</v>
      </c>
      <c r="G45" s="232">
        <f>G21</f>
        <v>356004.32</v>
      </c>
    </row>
    <row r="46" spans="2:33" ht="14.25" customHeight="1">
      <c r="E46" s="25" t="s">
        <v>596</v>
      </c>
      <c r="F46" s="7" t="str">
        <f>Inputs!$D$7</f>
        <v>HUF</v>
      </c>
      <c r="G46" s="232">
        <f>G32</f>
        <v>232500</v>
      </c>
    </row>
    <row r="47" spans="2:33" ht="14.25" customHeight="1">
      <c r="E47" s="25" t="s">
        <v>597</v>
      </c>
      <c r="F47" s="7" t="str">
        <f>Inputs!$D$7</f>
        <v>HUF</v>
      </c>
      <c r="G47" s="255">
        <f>G41</f>
        <v>105930.77760000002</v>
      </c>
    </row>
    <row r="48" spans="2:33" ht="14.25" customHeight="1">
      <c r="E48" s="112" t="s">
        <v>598</v>
      </c>
      <c r="F48" s="107" t="str">
        <f>Inputs!$D$7</f>
        <v>HUF</v>
      </c>
      <c r="G48" s="254">
        <f>G45+G46+G47</f>
        <v>694435.0976000001</v>
      </c>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row>
    <row r="49" spans="2:33" ht="14.25" customHeight="1">
      <c r="E49" s="11" t="s">
        <v>599</v>
      </c>
      <c r="F49" s="7" t="s">
        <v>226</v>
      </c>
      <c r="G49" s="228">
        <f>IFERROR(G46/G45,0)</f>
        <v>0.65308196260090323</v>
      </c>
    </row>
    <row r="50" spans="2:33" ht="14.25" customHeight="1">
      <c r="E50" s="25" t="s">
        <v>600</v>
      </c>
      <c r="F50" s="7" t="s">
        <v>115</v>
      </c>
      <c r="G50" s="228">
        <f>IFERROR(G46/G48,0)</f>
        <v>0.33480450628652092</v>
      </c>
    </row>
    <row r="52" spans="2:33" ht="14.25" customHeight="1">
      <c r="B52" s="40"/>
      <c r="C52" s="14" t="s">
        <v>601</v>
      </c>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row>
    <row r="54" spans="2:33" ht="14.25" customHeight="1">
      <c r="E54" s="25" t="s">
        <v>602</v>
      </c>
      <c r="F54" s="7" t="s">
        <v>115</v>
      </c>
      <c r="H54" s="129">
        <f>IF(ABS(I56-$G$48)&lt;2,0,1)</f>
        <v>0</v>
      </c>
      <c r="I54" s="130">
        <f>SUM(K54:AG54)</f>
        <v>1</v>
      </c>
      <c r="K54" s="131">
        <v>0</v>
      </c>
      <c r="L54" s="131">
        <v>0.5</v>
      </c>
      <c r="M54" s="131">
        <v>0.5</v>
      </c>
      <c r="N54" s="131">
        <v>0</v>
      </c>
      <c r="O54" s="131">
        <v>0</v>
      </c>
      <c r="P54" s="131">
        <v>0</v>
      </c>
      <c r="Q54" s="131">
        <v>0</v>
      </c>
      <c r="R54" s="131">
        <v>0</v>
      </c>
      <c r="S54" s="131">
        <v>0</v>
      </c>
      <c r="T54" s="131">
        <v>0</v>
      </c>
      <c r="U54" s="131">
        <v>0</v>
      </c>
      <c r="V54" s="131">
        <v>0</v>
      </c>
      <c r="W54" s="131">
        <v>0</v>
      </c>
      <c r="X54" s="131">
        <v>0</v>
      </c>
      <c r="Y54" s="131">
        <v>0</v>
      </c>
      <c r="Z54" s="131">
        <v>0</v>
      </c>
      <c r="AA54" s="131">
        <v>0</v>
      </c>
      <c r="AB54" s="131">
        <v>0</v>
      </c>
      <c r="AC54" s="131">
        <v>0</v>
      </c>
      <c r="AD54" s="131">
        <v>0</v>
      </c>
      <c r="AE54" s="131">
        <v>0</v>
      </c>
      <c r="AF54" s="131">
        <v>0</v>
      </c>
      <c r="AG54" s="131">
        <v>0</v>
      </c>
    </row>
    <row r="55" spans="2:33" ht="14.25" customHeight="1">
      <c r="E55" s="25" t="s">
        <v>603</v>
      </c>
      <c r="F55" s="7" t="s">
        <v>604</v>
      </c>
      <c r="K55" s="41">
        <f t="shared" ref="K55:AG55" si="0">IFERROR(K54/$I$54,0)</f>
        <v>0</v>
      </c>
      <c r="L55" s="41">
        <f t="shared" si="0"/>
        <v>0.5</v>
      </c>
      <c r="M55" s="41">
        <f t="shared" si="0"/>
        <v>0.5</v>
      </c>
      <c r="N55" s="41">
        <f t="shared" si="0"/>
        <v>0</v>
      </c>
      <c r="O55" s="41">
        <f t="shared" si="0"/>
        <v>0</v>
      </c>
      <c r="P55" s="41">
        <f t="shared" si="0"/>
        <v>0</v>
      </c>
      <c r="Q55" s="41">
        <f t="shared" si="0"/>
        <v>0</v>
      </c>
      <c r="R55" s="41">
        <f t="shared" si="0"/>
        <v>0</v>
      </c>
      <c r="S55" s="41">
        <f t="shared" si="0"/>
        <v>0</v>
      </c>
      <c r="T55" s="41">
        <f t="shared" si="0"/>
        <v>0</v>
      </c>
      <c r="U55" s="41">
        <f t="shared" si="0"/>
        <v>0</v>
      </c>
      <c r="V55" s="41">
        <f t="shared" si="0"/>
        <v>0</v>
      </c>
      <c r="W55" s="41">
        <f t="shared" si="0"/>
        <v>0</v>
      </c>
      <c r="X55" s="41">
        <f t="shared" si="0"/>
        <v>0</v>
      </c>
      <c r="Y55" s="41">
        <f t="shared" si="0"/>
        <v>0</v>
      </c>
      <c r="Z55" s="41">
        <f t="shared" si="0"/>
        <v>0</v>
      </c>
      <c r="AA55" s="41">
        <f t="shared" si="0"/>
        <v>0</v>
      </c>
      <c r="AB55" s="41">
        <f t="shared" si="0"/>
        <v>0</v>
      </c>
      <c r="AC55" s="41">
        <f t="shared" si="0"/>
        <v>0</v>
      </c>
      <c r="AD55" s="41">
        <f t="shared" si="0"/>
        <v>0</v>
      </c>
      <c r="AE55" s="41">
        <f t="shared" si="0"/>
        <v>0</v>
      </c>
      <c r="AF55" s="41">
        <f t="shared" si="0"/>
        <v>0</v>
      </c>
      <c r="AG55" s="41">
        <f t="shared" si="0"/>
        <v>0</v>
      </c>
    </row>
    <row r="56" spans="2:33" ht="14.25" customHeight="1">
      <c r="E56" s="11" t="s">
        <v>605</v>
      </c>
      <c r="F56" s="7" t="str">
        <f>Inputs!$D$7</f>
        <v>HUF</v>
      </c>
      <c r="I56" s="132">
        <f>SUM(K56:AG56)</f>
        <v>694435.0976000001</v>
      </c>
      <c r="K56" s="36">
        <f t="shared" ref="K56:AG56" si="1">$G$48*K55</f>
        <v>0</v>
      </c>
      <c r="L56" s="36">
        <f t="shared" si="1"/>
        <v>347217.54880000005</v>
      </c>
      <c r="M56" s="36">
        <f t="shared" si="1"/>
        <v>347217.54880000005</v>
      </c>
      <c r="N56" s="36">
        <f t="shared" si="1"/>
        <v>0</v>
      </c>
      <c r="O56" s="36">
        <f t="shared" si="1"/>
        <v>0</v>
      </c>
      <c r="P56" s="36">
        <f t="shared" si="1"/>
        <v>0</v>
      </c>
      <c r="Q56" s="36">
        <f t="shared" si="1"/>
        <v>0</v>
      </c>
      <c r="R56" s="36">
        <f t="shared" si="1"/>
        <v>0</v>
      </c>
      <c r="S56" s="36">
        <f t="shared" si="1"/>
        <v>0</v>
      </c>
      <c r="T56" s="36">
        <f t="shared" si="1"/>
        <v>0</v>
      </c>
      <c r="U56" s="36">
        <f t="shared" si="1"/>
        <v>0</v>
      </c>
      <c r="V56" s="36">
        <f t="shared" si="1"/>
        <v>0</v>
      </c>
      <c r="W56" s="36">
        <f t="shared" si="1"/>
        <v>0</v>
      </c>
      <c r="X56" s="36">
        <f t="shared" si="1"/>
        <v>0</v>
      </c>
      <c r="Y56" s="36">
        <f t="shared" si="1"/>
        <v>0</v>
      </c>
      <c r="Z56" s="36">
        <f t="shared" si="1"/>
        <v>0</v>
      </c>
      <c r="AA56" s="36">
        <f t="shared" si="1"/>
        <v>0</v>
      </c>
      <c r="AB56" s="36">
        <f t="shared" si="1"/>
        <v>0</v>
      </c>
      <c r="AC56" s="36">
        <f t="shared" si="1"/>
        <v>0</v>
      </c>
      <c r="AD56" s="36">
        <f t="shared" si="1"/>
        <v>0</v>
      </c>
      <c r="AE56" s="36">
        <f t="shared" si="1"/>
        <v>0</v>
      </c>
      <c r="AF56" s="36">
        <f t="shared" si="1"/>
        <v>0</v>
      </c>
      <c r="AG56" s="36">
        <f t="shared" si="1"/>
        <v>0</v>
      </c>
    </row>
    <row r="57" spans="2:33" ht="14.25" customHeight="1">
      <c r="E57" s="25" t="s">
        <v>563</v>
      </c>
      <c r="F57" s="7" t="s">
        <v>226</v>
      </c>
      <c r="K57" s="133">
        <f>Timing!O18</f>
        <v>1</v>
      </c>
      <c r="L57" s="133">
        <f>Timing!P18</f>
        <v>1.02</v>
      </c>
      <c r="M57" s="133">
        <f>Timing!Q18</f>
        <v>1.0404</v>
      </c>
      <c r="N57" s="133">
        <f>Timing!R18</f>
        <v>1.0612079999999999</v>
      </c>
      <c r="O57" s="133">
        <f>Timing!S18</f>
        <v>1.08243216</v>
      </c>
      <c r="P57" s="133">
        <f>Timing!T18</f>
        <v>1.1040808032</v>
      </c>
      <c r="Q57" s="133">
        <f>Timing!U18</f>
        <v>1.1261624192640001</v>
      </c>
      <c r="R57" s="133">
        <f>Timing!V18</f>
        <v>1.1486856676492798</v>
      </c>
      <c r="S57" s="133">
        <f>Timing!W18</f>
        <v>1.1716593810022655</v>
      </c>
      <c r="T57" s="133">
        <f>Timing!X18</f>
        <v>1.1950925686223108</v>
      </c>
      <c r="U57" s="133">
        <f>Timing!Y18</f>
        <v>1.2189944199947571</v>
      </c>
      <c r="V57" s="133">
        <f>Timing!Z18</f>
        <v>1.243374308394652</v>
      </c>
      <c r="W57" s="133">
        <f>Timing!AA18</f>
        <v>1.2682417945625453</v>
      </c>
      <c r="X57" s="133">
        <f>Timing!AB18</f>
        <v>1.2936066304537961</v>
      </c>
      <c r="Y57" s="133">
        <f>Timing!AC18</f>
        <v>1.3194787630628722</v>
      </c>
      <c r="Z57" s="133">
        <f>Timing!AD18</f>
        <v>1.3458683383241292</v>
      </c>
      <c r="AA57" s="133">
        <f>Timing!AE18</f>
        <v>1.372785705090612</v>
      </c>
      <c r="AB57" s="133">
        <f>Timing!AF18</f>
        <v>1.4002414191924244</v>
      </c>
      <c r="AC57" s="133">
        <f>Timing!AG18</f>
        <v>1.4282462475762727</v>
      </c>
      <c r="AD57" s="133">
        <f>Timing!AH18</f>
        <v>1.4568111725277981</v>
      </c>
      <c r="AE57" s="133">
        <f>Timing!AI18</f>
        <v>1.4859473959783542</v>
      </c>
      <c r="AF57" s="133">
        <f>Timing!AJ18</f>
        <v>1.5156663438979212</v>
      </c>
      <c r="AG57" s="133">
        <f>Timing!AK18</f>
        <v>1.5459796707758797</v>
      </c>
    </row>
    <row r="58" spans="2:33" ht="14.25" customHeight="1">
      <c r="E58" s="11" t="s">
        <v>606</v>
      </c>
      <c r="F58" s="7" t="str">
        <f>Inputs!$D$7</f>
        <v>HUF</v>
      </c>
      <c r="I58" s="132">
        <f>SUM(K58:AG58)</f>
        <v>715407.0375475199</v>
      </c>
      <c r="K58" s="36">
        <f>K75</f>
        <v>0</v>
      </c>
      <c r="L58" s="36">
        <f t="shared" ref="L58:AG58" si="2">L75</f>
        <v>354161.89977600001</v>
      </c>
      <c r="M58" s="36">
        <f t="shared" si="2"/>
        <v>361245.13777151995</v>
      </c>
      <c r="N58" s="36">
        <f t="shared" si="2"/>
        <v>0</v>
      </c>
      <c r="O58" s="36">
        <f t="shared" si="2"/>
        <v>0</v>
      </c>
      <c r="P58" s="36">
        <f t="shared" si="2"/>
        <v>0</v>
      </c>
      <c r="Q58" s="36">
        <f t="shared" si="2"/>
        <v>0</v>
      </c>
      <c r="R58" s="36">
        <f t="shared" si="2"/>
        <v>0</v>
      </c>
      <c r="S58" s="36">
        <f t="shared" si="2"/>
        <v>0</v>
      </c>
      <c r="T58" s="36">
        <f t="shared" si="2"/>
        <v>0</v>
      </c>
      <c r="U58" s="36">
        <f t="shared" si="2"/>
        <v>0</v>
      </c>
      <c r="V58" s="36">
        <f t="shared" si="2"/>
        <v>0</v>
      </c>
      <c r="W58" s="36">
        <f t="shared" si="2"/>
        <v>0</v>
      </c>
      <c r="X58" s="36">
        <f t="shared" si="2"/>
        <v>0</v>
      </c>
      <c r="Y58" s="36">
        <f t="shared" si="2"/>
        <v>0</v>
      </c>
      <c r="Z58" s="36">
        <f t="shared" si="2"/>
        <v>0</v>
      </c>
      <c r="AA58" s="36">
        <f t="shared" si="2"/>
        <v>0</v>
      </c>
      <c r="AB58" s="36">
        <f t="shared" si="2"/>
        <v>0</v>
      </c>
      <c r="AC58" s="36">
        <f t="shared" si="2"/>
        <v>0</v>
      </c>
      <c r="AD58" s="36">
        <f t="shared" si="2"/>
        <v>0</v>
      </c>
      <c r="AE58" s="36">
        <f t="shared" si="2"/>
        <v>0</v>
      </c>
      <c r="AF58" s="36">
        <f t="shared" si="2"/>
        <v>0</v>
      </c>
      <c r="AG58" s="36">
        <f t="shared" si="2"/>
        <v>0</v>
      </c>
    </row>
    <row r="60" spans="2:33">
      <c r="B60" s="14"/>
      <c r="C60" s="14" t="s">
        <v>607</v>
      </c>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row>
    <row r="62" spans="2:33">
      <c r="E62" t="s">
        <v>608</v>
      </c>
      <c r="F62" s="7" t="s">
        <v>115</v>
      </c>
      <c r="K62" s="392">
        <f>K55</f>
        <v>0</v>
      </c>
      <c r="L62" s="392">
        <f t="shared" ref="L62:AG62" si="3">L55</f>
        <v>0.5</v>
      </c>
      <c r="M62" s="392">
        <f t="shared" si="3"/>
        <v>0.5</v>
      </c>
      <c r="N62" s="392">
        <f t="shared" si="3"/>
        <v>0</v>
      </c>
      <c r="O62" s="392">
        <f t="shared" si="3"/>
        <v>0</v>
      </c>
      <c r="P62" s="392">
        <f t="shared" si="3"/>
        <v>0</v>
      </c>
      <c r="Q62" s="392">
        <f t="shared" si="3"/>
        <v>0</v>
      </c>
      <c r="R62" s="392">
        <f t="shared" si="3"/>
        <v>0</v>
      </c>
      <c r="S62" s="392">
        <f t="shared" si="3"/>
        <v>0</v>
      </c>
      <c r="T62" s="392">
        <f t="shared" si="3"/>
        <v>0</v>
      </c>
      <c r="U62" s="392">
        <f t="shared" si="3"/>
        <v>0</v>
      </c>
      <c r="V62" s="392">
        <f t="shared" si="3"/>
        <v>0</v>
      </c>
      <c r="W62" s="392">
        <f t="shared" si="3"/>
        <v>0</v>
      </c>
      <c r="X62" s="392">
        <f t="shared" si="3"/>
        <v>0</v>
      </c>
      <c r="Y62" s="392">
        <f t="shared" si="3"/>
        <v>0</v>
      </c>
      <c r="Z62" s="392">
        <f t="shared" si="3"/>
        <v>0</v>
      </c>
      <c r="AA62" s="392">
        <f t="shared" si="3"/>
        <v>0</v>
      </c>
      <c r="AB62" s="392">
        <f t="shared" si="3"/>
        <v>0</v>
      </c>
      <c r="AC62" s="392">
        <f t="shared" si="3"/>
        <v>0</v>
      </c>
      <c r="AD62" s="392">
        <f t="shared" si="3"/>
        <v>0</v>
      </c>
      <c r="AE62" s="392">
        <f t="shared" si="3"/>
        <v>0</v>
      </c>
      <c r="AF62" s="392">
        <f t="shared" si="3"/>
        <v>0</v>
      </c>
      <c r="AG62" s="392">
        <f t="shared" si="3"/>
        <v>0</v>
      </c>
    </row>
    <row r="63" spans="2:33">
      <c r="E63" t="s">
        <v>609</v>
      </c>
      <c r="F63" s="7" t="s">
        <v>115</v>
      </c>
      <c r="K63" s="392">
        <f>K55</f>
        <v>0</v>
      </c>
      <c r="L63" s="392">
        <f t="shared" ref="L63:AG63" si="4">L55</f>
        <v>0.5</v>
      </c>
      <c r="M63" s="392">
        <f t="shared" si="4"/>
        <v>0.5</v>
      </c>
      <c r="N63" s="392">
        <f t="shared" si="4"/>
        <v>0</v>
      </c>
      <c r="O63" s="392">
        <f t="shared" si="4"/>
        <v>0</v>
      </c>
      <c r="P63" s="392">
        <f t="shared" si="4"/>
        <v>0</v>
      </c>
      <c r="Q63" s="392">
        <f t="shared" si="4"/>
        <v>0</v>
      </c>
      <c r="R63" s="392">
        <f t="shared" si="4"/>
        <v>0</v>
      </c>
      <c r="S63" s="392">
        <f t="shared" si="4"/>
        <v>0</v>
      </c>
      <c r="T63" s="392">
        <f t="shared" si="4"/>
        <v>0</v>
      </c>
      <c r="U63" s="392">
        <f t="shared" si="4"/>
        <v>0</v>
      </c>
      <c r="V63" s="392">
        <f t="shared" si="4"/>
        <v>0</v>
      </c>
      <c r="W63" s="392">
        <f t="shared" si="4"/>
        <v>0</v>
      </c>
      <c r="X63" s="392">
        <f t="shared" si="4"/>
        <v>0</v>
      </c>
      <c r="Y63" s="392">
        <f t="shared" si="4"/>
        <v>0</v>
      </c>
      <c r="Z63" s="392">
        <f t="shared" si="4"/>
        <v>0</v>
      </c>
      <c r="AA63" s="392">
        <f t="shared" si="4"/>
        <v>0</v>
      </c>
      <c r="AB63" s="392">
        <f t="shared" si="4"/>
        <v>0</v>
      </c>
      <c r="AC63" s="392">
        <f t="shared" si="4"/>
        <v>0</v>
      </c>
      <c r="AD63" s="392">
        <f t="shared" si="4"/>
        <v>0</v>
      </c>
      <c r="AE63" s="392">
        <f t="shared" si="4"/>
        <v>0</v>
      </c>
      <c r="AF63" s="392">
        <f t="shared" si="4"/>
        <v>0</v>
      </c>
      <c r="AG63" s="392">
        <f t="shared" si="4"/>
        <v>0</v>
      </c>
    </row>
    <row r="64" spans="2:33">
      <c r="E64" t="s">
        <v>579</v>
      </c>
      <c r="F64" s="7" t="s">
        <v>115</v>
      </c>
      <c r="K64" s="392">
        <f>K55</f>
        <v>0</v>
      </c>
      <c r="L64" s="392">
        <f t="shared" ref="L64:AG64" si="5">L55</f>
        <v>0.5</v>
      </c>
      <c r="M64" s="392">
        <f t="shared" si="5"/>
        <v>0.5</v>
      </c>
      <c r="N64" s="392">
        <f t="shared" si="5"/>
        <v>0</v>
      </c>
      <c r="O64" s="392">
        <f t="shared" si="5"/>
        <v>0</v>
      </c>
      <c r="P64" s="392">
        <f t="shared" si="5"/>
        <v>0</v>
      </c>
      <c r="Q64" s="392">
        <f t="shared" si="5"/>
        <v>0</v>
      </c>
      <c r="R64" s="392">
        <f t="shared" si="5"/>
        <v>0</v>
      </c>
      <c r="S64" s="392">
        <f t="shared" si="5"/>
        <v>0</v>
      </c>
      <c r="T64" s="392">
        <f t="shared" si="5"/>
        <v>0</v>
      </c>
      <c r="U64" s="392">
        <f t="shared" si="5"/>
        <v>0</v>
      </c>
      <c r="V64" s="392">
        <f t="shared" si="5"/>
        <v>0</v>
      </c>
      <c r="W64" s="392">
        <f t="shared" si="5"/>
        <v>0</v>
      </c>
      <c r="X64" s="392">
        <f t="shared" si="5"/>
        <v>0</v>
      </c>
      <c r="Y64" s="392">
        <f t="shared" si="5"/>
        <v>0</v>
      </c>
      <c r="Z64" s="392">
        <f t="shared" si="5"/>
        <v>0</v>
      </c>
      <c r="AA64" s="392">
        <f t="shared" si="5"/>
        <v>0</v>
      </c>
      <c r="AB64" s="392">
        <f t="shared" si="5"/>
        <v>0</v>
      </c>
      <c r="AC64" s="392">
        <f t="shared" si="5"/>
        <v>0</v>
      </c>
      <c r="AD64" s="392">
        <f t="shared" si="5"/>
        <v>0</v>
      </c>
      <c r="AE64" s="392">
        <f t="shared" si="5"/>
        <v>0</v>
      </c>
      <c r="AF64" s="392">
        <f t="shared" si="5"/>
        <v>0</v>
      </c>
      <c r="AG64" s="392">
        <f t="shared" si="5"/>
        <v>0</v>
      </c>
    </row>
    <row r="65" spans="2:34">
      <c r="E65" t="s">
        <v>610</v>
      </c>
      <c r="F65" s="7" t="s">
        <v>115</v>
      </c>
      <c r="K65" s="392">
        <f>K55</f>
        <v>0</v>
      </c>
      <c r="L65" s="392">
        <f t="shared" ref="L65:AG65" si="6">L55</f>
        <v>0.5</v>
      </c>
      <c r="M65" s="392">
        <f t="shared" si="6"/>
        <v>0.5</v>
      </c>
      <c r="N65" s="392">
        <f t="shared" si="6"/>
        <v>0</v>
      </c>
      <c r="O65" s="392">
        <f t="shared" si="6"/>
        <v>0</v>
      </c>
      <c r="P65" s="392">
        <f t="shared" si="6"/>
        <v>0</v>
      </c>
      <c r="Q65" s="392">
        <f t="shared" si="6"/>
        <v>0</v>
      </c>
      <c r="R65" s="392">
        <f t="shared" si="6"/>
        <v>0</v>
      </c>
      <c r="S65" s="392">
        <f t="shared" si="6"/>
        <v>0</v>
      </c>
      <c r="T65" s="392">
        <f t="shared" si="6"/>
        <v>0</v>
      </c>
      <c r="U65" s="392">
        <f t="shared" si="6"/>
        <v>0</v>
      </c>
      <c r="V65" s="392">
        <f t="shared" si="6"/>
        <v>0</v>
      </c>
      <c r="W65" s="392">
        <f t="shared" si="6"/>
        <v>0</v>
      </c>
      <c r="X65" s="392">
        <f t="shared" si="6"/>
        <v>0</v>
      </c>
      <c r="Y65" s="392">
        <f t="shared" si="6"/>
        <v>0</v>
      </c>
      <c r="Z65" s="392">
        <f t="shared" si="6"/>
        <v>0</v>
      </c>
      <c r="AA65" s="392">
        <f t="shared" si="6"/>
        <v>0</v>
      </c>
      <c r="AB65" s="392">
        <f t="shared" si="6"/>
        <v>0</v>
      </c>
      <c r="AC65" s="392">
        <f t="shared" si="6"/>
        <v>0</v>
      </c>
      <c r="AD65" s="392">
        <f t="shared" si="6"/>
        <v>0</v>
      </c>
      <c r="AE65" s="392">
        <f t="shared" si="6"/>
        <v>0</v>
      </c>
      <c r="AF65" s="392">
        <f t="shared" si="6"/>
        <v>0</v>
      </c>
      <c r="AG65" s="392">
        <f t="shared" si="6"/>
        <v>0</v>
      </c>
      <c r="AH65" s="391"/>
    </row>
    <row r="66" spans="2:34">
      <c r="E66" t="s">
        <v>597</v>
      </c>
      <c r="F66" s="7" t="s">
        <v>115</v>
      </c>
      <c r="K66" s="392">
        <f>K55</f>
        <v>0</v>
      </c>
      <c r="L66" s="392">
        <f t="shared" ref="L66:AG66" si="7">L55</f>
        <v>0.5</v>
      </c>
      <c r="M66" s="392">
        <f t="shared" si="7"/>
        <v>0.5</v>
      </c>
      <c r="N66" s="392">
        <f t="shared" si="7"/>
        <v>0</v>
      </c>
      <c r="O66" s="392">
        <f t="shared" si="7"/>
        <v>0</v>
      </c>
      <c r="P66" s="392">
        <f t="shared" si="7"/>
        <v>0</v>
      </c>
      <c r="Q66" s="392">
        <f t="shared" si="7"/>
        <v>0</v>
      </c>
      <c r="R66" s="392">
        <f t="shared" si="7"/>
        <v>0</v>
      </c>
      <c r="S66" s="392">
        <f t="shared" si="7"/>
        <v>0</v>
      </c>
      <c r="T66" s="392">
        <f t="shared" si="7"/>
        <v>0</v>
      </c>
      <c r="U66" s="392">
        <f t="shared" si="7"/>
        <v>0</v>
      </c>
      <c r="V66" s="392">
        <f t="shared" si="7"/>
        <v>0</v>
      </c>
      <c r="W66" s="392">
        <f t="shared" si="7"/>
        <v>0</v>
      </c>
      <c r="X66" s="392">
        <f t="shared" si="7"/>
        <v>0</v>
      </c>
      <c r="Y66" s="392">
        <f t="shared" si="7"/>
        <v>0</v>
      </c>
      <c r="Z66" s="392">
        <f t="shared" si="7"/>
        <v>0</v>
      </c>
      <c r="AA66" s="392">
        <f t="shared" si="7"/>
        <v>0</v>
      </c>
      <c r="AB66" s="392">
        <f t="shared" si="7"/>
        <v>0</v>
      </c>
      <c r="AC66" s="392">
        <f t="shared" si="7"/>
        <v>0</v>
      </c>
      <c r="AD66" s="392">
        <f t="shared" si="7"/>
        <v>0</v>
      </c>
      <c r="AE66" s="392">
        <f t="shared" si="7"/>
        <v>0</v>
      </c>
      <c r="AF66" s="392">
        <f t="shared" si="7"/>
        <v>0</v>
      </c>
      <c r="AG66" s="392">
        <f t="shared" si="7"/>
        <v>0</v>
      </c>
    </row>
    <row r="67" spans="2:34">
      <c r="E67" t="s">
        <v>611</v>
      </c>
      <c r="H67" s="129">
        <f>(ABS(SUM(K62:AG62)-1)&gt;0.001)*1+(ABS(SUM(K63:AG63)-1)&gt;0.001)*1+(ABS(SUM(K64:AG64)-1)&gt;0.001)*1+(ABS(SUM(K65:AG65)-1)&gt;0.001)*1+(ABS(SUM(K66:AG66)-1)&gt;0.001)*1</f>
        <v>0</v>
      </c>
    </row>
    <row r="69" spans="2:34">
      <c r="B69" s="14"/>
      <c r="C69" s="14" t="s">
        <v>612</v>
      </c>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row>
    <row r="70" spans="2:34">
      <c r="E70" t="s">
        <v>608</v>
      </c>
      <c r="K70" s="36">
        <f>($G$15+$G$20)*K62*K57</f>
        <v>0</v>
      </c>
      <c r="L70" s="36">
        <f t="shared" ref="L70:AG70" si="8">($G$15+$G$20)*L62*L57</f>
        <v>128520</v>
      </c>
      <c r="M70" s="36">
        <f t="shared" si="8"/>
        <v>131090.4</v>
      </c>
      <c r="N70" s="36">
        <f t="shared" si="8"/>
        <v>0</v>
      </c>
      <c r="O70" s="36">
        <f t="shared" si="8"/>
        <v>0</v>
      </c>
      <c r="P70" s="36">
        <f t="shared" si="8"/>
        <v>0</v>
      </c>
      <c r="Q70" s="36">
        <f t="shared" si="8"/>
        <v>0</v>
      </c>
      <c r="R70" s="36">
        <f t="shared" si="8"/>
        <v>0</v>
      </c>
      <c r="S70" s="36">
        <f t="shared" si="8"/>
        <v>0</v>
      </c>
      <c r="T70" s="36">
        <f t="shared" si="8"/>
        <v>0</v>
      </c>
      <c r="U70" s="36">
        <f t="shared" si="8"/>
        <v>0</v>
      </c>
      <c r="V70" s="36">
        <f t="shared" si="8"/>
        <v>0</v>
      </c>
      <c r="W70" s="36">
        <f t="shared" si="8"/>
        <v>0</v>
      </c>
      <c r="X70" s="36">
        <f t="shared" si="8"/>
        <v>0</v>
      </c>
      <c r="Y70" s="36">
        <f t="shared" si="8"/>
        <v>0</v>
      </c>
      <c r="Z70" s="36">
        <f t="shared" si="8"/>
        <v>0</v>
      </c>
      <c r="AA70" s="36">
        <f t="shared" si="8"/>
        <v>0</v>
      </c>
      <c r="AB70" s="36">
        <f t="shared" si="8"/>
        <v>0</v>
      </c>
      <c r="AC70" s="36">
        <f t="shared" si="8"/>
        <v>0</v>
      </c>
      <c r="AD70" s="36">
        <f t="shared" si="8"/>
        <v>0</v>
      </c>
      <c r="AE70" s="36">
        <f t="shared" si="8"/>
        <v>0</v>
      </c>
      <c r="AF70" s="36">
        <f t="shared" si="8"/>
        <v>0</v>
      </c>
      <c r="AG70" s="36">
        <f t="shared" si="8"/>
        <v>0</v>
      </c>
    </row>
    <row r="71" spans="2:34">
      <c r="E71" t="s">
        <v>609</v>
      </c>
      <c r="K71" s="36">
        <f>($G$16+$G$17+$G$18+$G$29)*K63*K57</f>
        <v>0</v>
      </c>
      <c r="L71" s="36">
        <f t="shared" ref="L71:AG71" si="9">($G$16+$G$17+$G$18+$G$29)*L63*L57</f>
        <v>42842.203200000004</v>
      </c>
      <c r="M71" s="36">
        <f t="shared" si="9"/>
        <v>43699.047264000001</v>
      </c>
      <c r="N71" s="36">
        <f t="shared" si="9"/>
        <v>0</v>
      </c>
      <c r="O71" s="36">
        <f t="shared" si="9"/>
        <v>0</v>
      </c>
      <c r="P71" s="36">
        <f t="shared" si="9"/>
        <v>0</v>
      </c>
      <c r="Q71" s="36">
        <f t="shared" si="9"/>
        <v>0</v>
      </c>
      <c r="R71" s="36">
        <f t="shared" si="9"/>
        <v>0</v>
      </c>
      <c r="S71" s="36">
        <f t="shared" si="9"/>
        <v>0</v>
      </c>
      <c r="T71" s="36">
        <f t="shared" si="9"/>
        <v>0</v>
      </c>
      <c r="U71" s="36">
        <f t="shared" si="9"/>
        <v>0</v>
      </c>
      <c r="V71" s="36">
        <f t="shared" si="9"/>
        <v>0</v>
      </c>
      <c r="W71" s="36">
        <f t="shared" si="9"/>
        <v>0</v>
      </c>
      <c r="X71" s="36">
        <f t="shared" si="9"/>
        <v>0</v>
      </c>
      <c r="Y71" s="36">
        <f t="shared" si="9"/>
        <v>0</v>
      </c>
      <c r="Z71" s="36">
        <f t="shared" si="9"/>
        <v>0</v>
      </c>
      <c r="AA71" s="36">
        <f t="shared" si="9"/>
        <v>0</v>
      </c>
      <c r="AB71" s="36">
        <f t="shared" si="9"/>
        <v>0</v>
      </c>
      <c r="AC71" s="36">
        <f t="shared" si="9"/>
        <v>0</v>
      </c>
      <c r="AD71" s="36">
        <f t="shared" si="9"/>
        <v>0</v>
      </c>
      <c r="AE71" s="36">
        <f t="shared" si="9"/>
        <v>0</v>
      </c>
      <c r="AF71" s="36">
        <f t="shared" si="9"/>
        <v>0</v>
      </c>
      <c r="AG71" s="36">
        <f t="shared" si="9"/>
        <v>0</v>
      </c>
    </row>
    <row r="72" spans="2:34">
      <c r="E72" t="s">
        <v>579</v>
      </c>
      <c r="K72" s="36">
        <f>$G$19*K64*K57</f>
        <v>0</v>
      </c>
      <c r="L72" s="36">
        <f t="shared" ref="L72:AG72" si="10">$G$19*L64*L57</f>
        <v>40800</v>
      </c>
      <c r="M72" s="36">
        <f t="shared" si="10"/>
        <v>41616</v>
      </c>
      <c r="N72" s="36">
        <f t="shared" si="10"/>
        <v>0</v>
      </c>
      <c r="O72" s="36">
        <f t="shared" si="10"/>
        <v>0</v>
      </c>
      <c r="P72" s="36">
        <f t="shared" si="10"/>
        <v>0</v>
      </c>
      <c r="Q72" s="36">
        <f t="shared" si="10"/>
        <v>0</v>
      </c>
      <c r="R72" s="36">
        <f t="shared" si="10"/>
        <v>0</v>
      </c>
      <c r="S72" s="36">
        <f t="shared" si="10"/>
        <v>0</v>
      </c>
      <c r="T72" s="36">
        <f t="shared" si="10"/>
        <v>0</v>
      </c>
      <c r="U72" s="36">
        <f t="shared" si="10"/>
        <v>0</v>
      </c>
      <c r="V72" s="36">
        <f t="shared" si="10"/>
        <v>0</v>
      </c>
      <c r="W72" s="36">
        <f t="shared" si="10"/>
        <v>0</v>
      </c>
      <c r="X72" s="36">
        <f t="shared" si="10"/>
        <v>0</v>
      </c>
      <c r="Y72" s="36">
        <f t="shared" si="10"/>
        <v>0</v>
      </c>
      <c r="Z72" s="36">
        <f t="shared" si="10"/>
        <v>0</v>
      </c>
      <c r="AA72" s="36">
        <f t="shared" si="10"/>
        <v>0</v>
      </c>
      <c r="AB72" s="36">
        <f t="shared" si="10"/>
        <v>0</v>
      </c>
      <c r="AC72" s="36">
        <f t="shared" si="10"/>
        <v>0</v>
      </c>
      <c r="AD72" s="36">
        <f t="shared" si="10"/>
        <v>0</v>
      </c>
      <c r="AE72" s="36">
        <f t="shared" si="10"/>
        <v>0</v>
      </c>
      <c r="AF72" s="36">
        <f t="shared" si="10"/>
        <v>0</v>
      </c>
      <c r="AG72" s="36">
        <f t="shared" si="10"/>
        <v>0</v>
      </c>
    </row>
    <row r="73" spans="2:34">
      <c r="E73" t="s">
        <v>610</v>
      </c>
      <c r="K73" s="36">
        <f>($G$27+$G$28+$G$31+$G$30)*K65*K57</f>
        <v>0</v>
      </c>
      <c r="L73" s="36">
        <f t="shared" ref="L73:AG73" si="11">($G$27+$G$28+$G$31+$G$30)*L65*L57</f>
        <v>87975</v>
      </c>
      <c r="M73" s="36">
        <f t="shared" si="11"/>
        <v>89734.5</v>
      </c>
      <c r="N73" s="36">
        <f t="shared" si="11"/>
        <v>0</v>
      </c>
      <c r="O73" s="36">
        <f t="shared" si="11"/>
        <v>0</v>
      </c>
      <c r="P73" s="36">
        <f t="shared" si="11"/>
        <v>0</v>
      </c>
      <c r="Q73" s="36">
        <f t="shared" si="11"/>
        <v>0</v>
      </c>
      <c r="R73" s="36">
        <f t="shared" si="11"/>
        <v>0</v>
      </c>
      <c r="S73" s="36">
        <f t="shared" si="11"/>
        <v>0</v>
      </c>
      <c r="T73" s="36">
        <f t="shared" si="11"/>
        <v>0</v>
      </c>
      <c r="U73" s="36">
        <f t="shared" si="11"/>
        <v>0</v>
      </c>
      <c r="V73" s="36">
        <f t="shared" si="11"/>
        <v>0</v>
      </c>
      <c r="W73" s="36">
        <f t="shared" si="11"/>
        <v>0</v>
      </c>
      <c r="X73" s="36">
        <f t="shared" si="11"/>
        <v>0</v>
      </c>
      <c r="Y73" s="36">
        <f t="shared" si="11"/>
        <v>0</v>
      </c>
      <c r="Z73" s="36">
        <f t="shared" si="11"/>
        <v>0</v>
      </c>
      <c r="AA73" s="36">
        <f t="shared" si="11"/>
        <v>0</v>
      </c>
      <c r="AB73" s="36">
        <f t="shared" si="11"/>
        <v>0</v>
      </c>
      <c r="AC73" s="36">
        <f t="shared" si="11"/>
        <v>0</v>
      </c>
      <c r="AD73" s="36">
        <f t="shared" si="11"/>
        <v>0</v>
      </c>
      <c r="AE73" s="36">
        <f t="shared" si="11"/>
        <v>0</v>
      </c>
      <c r="AF73" s="36">
        <f t="shared" si="11"/>
        <v>0</v>
      </c>
      <c r="AG73" s="36">
        <f t="shared" si="11"/>
        <v>0</v>
      </c>
    </row>
    <row r="74" spans="2:34">
      <c r="E74" t="s">
        <v>597</v>
      </c>
      <c r="K74" s="36">
        <f>($G$39+$G$40)*K66*K57</f>
        <v>0</v>
      </c>
      <c r="L74" s="36">
        <f t="shared" ref="L74:AG74" si="12">($G$39+$G$40)*L66*L57</f>
        <v>54024.696576000009</v>
      </c>
      <c r="M74" s="36">
        <f t="shared" si="12"/>
        <v>55105.190507520005</v>
      </c>
      <c r="N74" s="36">
        <f t="shared" si="12"/>
        <v>0</v>
      </c>
      <c r="O74" s="36">
        <f t="shared" si="12"/>
        <v>0</v>
      </c>
      <c r="P74" s="36">
        <f t="shared" si="12"/>
        <v>0</v>
      </c>
      <c r="Q74" s="36">
        <f t="shared" si="12"/>
        <v>0</v>
      </c>
      <c r="R74" s="36">
        <f t="shared" si="12"/>
        <v>0</v>
      </c>
      <c r="S74" s="36">
        <f t="shared" si="12"/>
        <v>0</v>
      </c>
      <c r="T74" s="36">
        <f t="shared" si="12"/>
        <v>0</v>
      </c>
      <c r="U74" s="36">
        <f t="shared" si="12"/>
        <v>0</v>
      </c>
      <c r="V74" s="36">
        <f t="shared" si="12"/>
        <v>0</v>
      </c>
      <c r="W74" s="36">
        <f t="shared" si="12"/>
        <v>0</v>
      </c>
      <c r="X74" s="36">
        <f t="shared" si="12"/>
        <v>0</v>
      </c>
      <c r="Y74" s="36">
        <f t="shared" si="12"/>
        <v>0</v>
      </c>
      <c r="Z74" s="36">
        <f t="shared" si="12"/>
        <v>0</v>
      </c>
      <c r="AA74" s="36">
        <f t="shared" si="12"/>
        <v>0</v>
      </c>
      <c r="AB74" s="36">
        <f t="shared" si="12"/>
        <v>0</v>
      </c>
      <c r="AC74" s="36">
        <f t="shared" si="12"/>
        <v>0</v>
      </c>
      <c r="AD74" s="36">
        <f t="shared" si="12"/>
        <v>0</v>
      </c>
      <c r="AE74" s="36">
        <f t="shared" si="12"/>
        <v>0</v>
      </c>
      <c r="AF74" s="36">
        <f t="shared" si="12"/>
        <v>0</v>
      </c>
      <c r="AG74" s="36">
        <f t="shared" si="12"/>
        <v>0</v>
      </c>
    </row>
    <row r="75" spans="2:34">
      <c r="E75" t="s">
        <v>613</v>
      </c>
      <c r="K75" s="36">
        <f>SUM(K70:K74)</f>
        <v>0</v>
      </c>
      <c r="L75" s="36">
        <f t="shared" ref="L75:AG75" si="13">SUM(L70:L74)</f>
        <v>354161.89977600001</v>
      </c>
      <c r="M75" s="36">
        <f t="shared" si="13"/>
        <v>361245.13777151995</v>
      </c>
      <c r="N75" s="36">
        <f t="shared" si="13"/>
        <v>0</v>
      </c>
      <c r="O75" s="36">
        <f t="shared" si="13"/>
        <v>0</v>
      </c>
      <c r="P75" s="36">
        <f t="shared" si="13"/>
        <v>0</v>
      </c>
      <c r="Q75" s="36">
        <f t="shared" si="13"/>
        <v>0</v>
      </c>
      <c r="R75" s="36">
        <f t="shared" si="13"/>
        <v>0</v>
      </c>
      <c r="S75" s="36">
        <f t="shared" si="13"/>
        <v>0</v>
      </c>
      <c r="T75" s="36">
        <f t="shared" si="13"/>
        <v>0</v>
      </c>
      <c r="U75" s="36">
        <f t="shared" si="13"/>
        <v>0</v>
      </c>
      <c r="V75" s="36">
        <f t="shared" si="13"/>
        <v>0</v>
      </c>
      <c r="W75" s="36">
        <f t="shared" si="13"/>
        <v>0</v>
      </c>
      <c r="X75" s="36">
        <f t="shared" si="13"/>
        <v>0</v>
      </c>
      <c r="Y75" s="36">
        <f t="shared" si="13"/>
        <v>0</v>
      </c>
      <c r="Z75" s="36">
        <f t="shared" si="13"/>
        <v>0</v>
      </c>
      <c r="AA75" s="36">
        <f t="shared" si="13"/>
        <v>0</v>
      </c>
      <c r="AB75" s="36">
        <f t="shared" si="13"/>
        <v>0</v>
      </c>
      <c r="AC75" s="36">
        <f t="shared" si="13"/>
        <v>0</v>
      </c>
      <c r="AD75" s="36">
        <f t="shared" si="13"/>
        <v>0</v>
      </c>
      <c r="AE75" s="36">
        <f t="shared" si="13"/>
        <v>0</v>
      </c>
      <c r="AF75" s="36">
        <f t="shared" si="13"/>
        <v>0</v>
      </c>
      <c r="AG75" s="36">
        <f t="shared" si="13"/>
        <v>0</v>
      </c>
    </row>
    <row r="76" spans="2:34">
      <c r="E76" t="s">
        <v>614</v>
      </c>
      <c r="H76" s="129">
        <f>IF(SUM(K75:AG75)&gt;=(($G$15+$G$20)+($G$16+$G$17+$G$18+$G$29)+$G$19+($G$27+$G$28+$G$31+$G$30)+($G$39+$G$40))-2,0,1)</f>
        <v>0</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2:AH129"/>
  <sheetViews>
    <sheetView showGridLines="0" zoomScale="70" zoomScaleNormal="70" workbookViewId="0">
      <pane xSplit="10" ySplit="13" topLeftCell="K116" activePane="bottomRight" state="frozen"/>
      <selection pane="bottomRight" activeCell="E107" sqref="E107"/>
      <selection pane="bottomLeft" activeCell="A56" sqref="A56"/>
      <selection pane="topRight" activeCell="K1" sqref="K1"/>
    </sheetView>
  </sheetViews>
  <sheetFormatPr defaultColWidth="8.7109375" defaultRowHeight="14.25"/>
  <cols>
    <col min="1" max="1" width="2.85546875" customWidth="1"/>
    <col min="2" max="2" width="3.42578125" customWidth="1"/>
    <col min="3" max="3" width="7.42578125" customWidth="1"/>
    <col min="4" max="4" width="7.7109375" customWidth="1"/>
    <col min="5" max="5" width="44.7109375" customWidth="1"/>
    <col min="6" max="6" width="13.85546875" customWidth="1"/>
    <col min="7" max="8" width="13" customWidth="1"/>
    <col min="9" max="9" width="10.140625" customWidth="1"/>
    <col min="10" max="10" width="19.5703125" customWidth="1"/>
    <col min="11" max="11" width="14.85546875" customWidth="1"/>
    <col min="12" max="23" width="9.85546875" customWidth="1"/>
    <col min="34" max="34" width="1.42578125" style="89" customWidth="1"/>
  </cols>
  <sheetData>
    <row r="2" spans="2:33" ht="19.899999999999999" customHeight="1">
      <c r="C2" s="318"/>
      <c r="E2" s="11"/>
      <c r="G2" s="11" t="s">
        <v>615</v>
      </c>
      <c r="H2" s="225">
        <f>SUM(H14:H119)</f>
        <v>0</v>
      </c>
    </row>
    <row r="3" spans="2:33" ht="14.25" customHeight="1">
      <c r="C3" s="88" t="s">
        <v>567</v>
      </c>
      <c r="D3" s="317" t="str">
        <f>'Control Panel'!D7&amp;":"&amp;'Control Panel'!D6</f>
        <v>Cascade geothermal:Base</v>
      </c>
      <c r="E3" s="11"/>
      <c r="J3" s="11" t="s">
        <v>568</v>
      </c>
      <c r="K3" s="91">
        <f>Dates!O2</f>
        <v>46388</v>
      </c>
      <c r="L3" s="92">
        <f>Dates!P2</f>
        <v>46753</v>
      </c>
      <c r="M3" s="92">
        <f>Dates!Q2</f>
        <v>47119</v>
      </c>
      <c r="N3" s="92">
        <f>Dates!R2</f>
        <v>47484</v>
      </c>
      <c r="O3" s="92">
        <f>Dates!S2</f>
        <v>47849</v>
      </c>
      <c r="P3" s="92">
        <f>Dates!T2</f>
        <v>48214</v>
      </c>
      <c r="Q3" s="92">
        <f>Dates!U2</f>
        <v>48580</v>
      </c>
      <c r="R3" s="92">
        <f>Dates!V2</f>
        <v>48945</v>
      </c>
      <c r="S3" s="92">
        <f>Dates!W2</f>
        <v>49310</v>
      </c>
      <c r="T3" s="92">
        <f>Dates!X2</f>
        <v>49675</v>
      </c>
      <c r="U3" s="92">
        <f>Dates!Y2</f>
        <v>50041</v>
      </c>
      <c r="V3" s="92">
        <f>Dates!Z2</f>
        <v>50406</v>
      </c>
      <c r="W3" s="92">
        <f>Dates!AA2</f>
        <v>50771</v>
      </c>
      <c r="X3" s="92">
        <f>Dates!AB2</f>
        <v>51136</v>
      </c>
      <c r="Y3" s="92">
        <f>Dates!AC2</f>
        <v>51502</v>
      </c>
      <c r="Z3" s="92">
        <f>Dates!AD2</f>
        <v>51867</v>
      </c>
      <c r="AA3" s="92">
        <f>Dates!AE2</f>
        <v>52232</v>
      </c>
      <c r="AB3" s="92">
        <f>Dates!AF2</f>
        <v>52597</v>
      </c>
      <c r="AC3" s="92">
        <f>Dates!AG2</f>
        <v>52963</v>
      </c>
      <c r="AD3" s="92">
        <f>Dates!AH2</f>
        <v>53328</v>
      </c>
      <c r="AE3" s="92">
        <f>Dates!AI2</f>
        <v>53693</v>
      </c>
      <c r="AF3" s="92">
        <f>Dates!AJ2</f>
        <v>54058</v>
      </c>
      <c r="AG3" s="92">
        <f>Dates!AK2</f>
        <v>54424</v>
      </c>
    </row>
    <row r="4" spans="2:33" ht="14.25" customHeight="1">
      <c r="E4" s="11"/>
      <c r="G4" s="33"/>
      <c r="J4" s="11" t="s">
        <v>569</v>
      </c>
      <c r="K4" s="93">
        <f>Dates!O3</f>
        <v>46752</v>
      </c>
      <c r="L4" s="94">
        <f>Dates!P3</f>
        <v>47118</v>
      </c>
      <c r="M4" s="94">
        <f>Dates!Q3</f>
        <v>47483</v>
      </c>
      <c r="N4" s="94">
        <f>Dates!R3</f>
        <v>47848</v>
      </c>
      <c r="O4" s="94">
        <f>Dates!S3</f>
        <v>48213</v>
      </c>
      <c r="P4" s="94">
        <f>Dates!T3</f>
        <v>48579</v>
      </c>
      <c r="Q4" s="94">
        <f>Dates!U3</f>
        <v>48944</v>
      </c>
      <c r="R4" s="94">
        <f>Dates!V3</f>
        <v>49309</v>
      </c>
      <c r="S4" s="94">
        <f>Dates!W3</f>
        <v>49674</v>
      </c>
      <c r="T4" s="94">
        <f>Dates!X3</f>
        <v>50040</v>
      </c>
      <c r="U4" s="94">
        <f>Dates!Y3</f>
        <v>50405</v>
      </c>
      <c r="V4" s="94">
        <f>Dates!Z3</f>
        <v>50770</v>
      </c>
      <c r="W4" s="94">
        <f>Dates!AA3</f>
        <v>51135</v>
      </c>
      <c r="X4" s="94">
        <f>Dates!AB3</f>
        <v>51501</v>
      </c>
      <c r="Y4" s="94">
        <f>Dates!AC3</f>
        <v>51866</v>
      </c>
      <c r="Z4" s="94">
        <f>Dates!AD3</f>
        <v>52231</v>
      </c>
      <c r="AA4" s="94">
        <f>Dates!AE3</f>
        <v>52596</v>
      </c>
      <c r="AB4" s="94">
        <f>Dates!AF3</f>
        <v>52962</v>
      </c>
      <c r="AC4" s="94">
        <f>Dates!AG3</f>
        <v>53327</v>
      </c>
      <c r="AD4" s="94">
        <f>Dates!AH3</f>
        <v>53692</v>
      </c>
      <c r="AE4" s="94">
        <f>Dates!AI3</f>
        <v>54057</v>
      </c>
      <c r="AF4" s="94">
        <f>Dates!AJ3</f>
        <v>54423</v>
      </c>
      <c r="AG4" s="94">
        <f>Dates!AK3</f>
        <v>54788</v>
      </c>
    </row>
    <row r="5" spans="2:33" ht="14.25" customHeight="1">
      <c r="E5" s="11"/>
      <c r="J5" s="11" t="s">
        <v>101</v>
      </c>
      <c r="K5" s="95">
        <f>Dates!O4</f>
        <v>2027</v>
      </c>
      <c r="L5" s="96">
        <f>Dates!P4</f>
        <v>2028</v>
      </c>
      <c r="M5" s="96">
        <f>Dates!Q4</f>
        <v>2029</v>
      </c>
      <c r="N5" s="96">
        <f>Dates!R4</f>
        <v>2030</v>
      </c>
      <c r="O5" s="96">
        <f>Dates!S4</f>
        <v>2031</v>
      </c>
      <c r="P5" s="96">
        <f>Dates!T4</f>
        <v>2032</v>
      </c>
      <c r="Q5" s="96">
        <f>Dates!U4</f>
        <v>2033</v>
      </c>
      <c r="R5" s="96">
        <f>Dates!V4</f>
        <v>2034</v>
      </c>
      <c r="S5" s="96">
        <f>Dates!W4</f>
        <v>2035</v>
      </c>
      <c r="T5" s="96">
        <f>Dates!X4</f>
        <v>2036</v>
      </c>
      <c r="U5" s="96">
        <f>Dates!Y4</f>
        <v>2037</v>
      </c>
      <c r="V5" s="96">
        <f>Dates!Z4</f>
        <v>2038</v>
      </c>
      <c r="W5" s="96">
        <f>Dates!AA4</f>
        <v>2039</v>
      </c>
      <c r="X5" s="96">
        <f>Dates!AB4</f>
        <v>2040</v>
      </c>
      <c r="Y5" s="96">
        <f>Dates!AC4</f>
        <v>2041</v>
      </c>
      <c r="Z5" s="96">
        <f>Dates!AD4</f>
        <v>2042</v>
      </c>
      <c r="AA5" s="96">
        <f>Dates!AE4</f>
        <v>2043</v>
      </c>
      <c r="AB5" s="96">
        <f>Dates!AF4</f>
        <v>2044</v>
      </c>
      <c r="AC5" s="96">
        <f>Dates!AG4</f>
        <v>2045</v>
      </c>
      <c r="AD5" s="96">
        <f>Dates!AH4</f>
        <v>2046</v>
      </c>
      <c r="AE5" s="96">
        <f>Dates!AI4</f>
        <v>2047</v>
      </c>
      <c r="AF5" s="96">
        <f>Dates!AJ4</f>
        <v>2048</v>
      </c>
      <c r="AG5" s="96">
        <f>Dates!AK4</f>
        <v>2049</v>
      </c>
    </row>
    <row r="6" spans="2:33" ht="14.25" customHeight="1">
      <c r="E6" s="11"/>
      <c r="J6" s="11" t="s">
        <v>570</v>
      </c>
      <c r="K6" s="97">
        <f>Dates!O8</f>
        <v>0</v>
      </c>
      <c r="L6" s="98">
        <f>Dates!P8</f>
        <v>1</v>
      </c>
      <c r="M6" s="98">
        <f>Dates!Q8</f>
        <v>2</v>
      </c>
      <c r="N6" s="98">
        <f>Dates!R8</f>
        <v>3</v>
      </c>
      <c r="O6" s="98">
        <f>Dates!S8</f>
        <v>4</v>
      </c>
      <c r="P6" s="98">
        <f>Dates!T8</f>
        <v>5</v>
      </c>
      <c r="Q6" s="98">
        <f>Dates!U8</f>
        <v>6</v>
      </c>
      <c r="R6" s="98">
        <f>Dates!V8</f>
        <v>7</v>
      </c>
      <c r="S6" s="98">
        <f>Dates!W8</f>
        <v>8</v>
      </c>
      <c r="T6" s="98">
        <f>Dates!X8</f>
        <v>9</v>
      </c>
      <c r="U6" s="98">
        <f>Dates!Y8</f>
        <v>10</v>
      </c>
      <c r="V6" s="98">
        <f>Dates!Z8</f>
        <v>11</v>
      </c>
      <c r="W6" s="98">
        <f>Dates!AA8</f>
        <v>12</v>
      </c>
      <c r="X6" s="98">
        <f>Dates!AB8</f>
        <v>13</v>
      </c>
      <c r="Y6" s="98">
        <f>Dates!AC8</f>
        <v>14</v>
      </c>
      <c r="Z6" s="98">
        <f>Dates!AD8</f>
        <v>15</v>
      </c>
      <c r="AA6" s="98">
        <f>Dates!AE8</f>
        <v>16</v>
      </c>
      <c r="AB6" s="98">
        <f>Dates!AF8</f>
        <v>17</v>
      </c>
      <c r="AC6" s="98">
        <f>Dates!AG8</f>
        <v>18</v>
      </c>
      <c r="AD6" s="98">
        <f>Dates!AH8</f>
        <v>19</v>
      </c>
      <c r="AE6" s="98">
        <f>Dates!AI8</f>
        <v>20</v>
      </c>
      <c r="AF6" s="98">
        <f>Dates!AJ8</f>
        <v>21</v>
      </c>
      <c r="AG6" s="98">
        <f>Dates!AK8</f>
        <v>22</v>
      </c>
    </row>
    <row r="8" spans="2:33" ht="14.25" customHeight="1">
      <c r="B8" s="40"/>
      <c r="C8" s="14" t="s">
        <v>571</v>
      </c>
      <c r="D8" s="40"/>
      <c r="E8" s="40"/>
      <c r="F8" s="99" t="s">
        <v>616</v>
      </c>
      <c r="G8" s="99" t="s">
        <v>617</v>
      </c>
      <c r="H8" s="99" t="s">
        <v>546</v>
      </c>
      <c r="I8" s="99" t="s">
        <v>618</v>
      </c>
      <c r="J8" s="40"/>
      <c r="K8" s="40"/>
      <c r="L8" s="40"/>
      <c r="M8" s="40"/>
      <c r="N8" s="40"/>
      <c r="O8" s="40"/>
      <c r="P8" s="40"/>
      <c r="Q8" s="40"/>
      <c r="R8" s="40"/>
      <c r="S8" s="40"/>
      <c r="T8" s="40"/>
      <c r="U8" s="40"/>
      <c r="V8" s="40"/>
      <c r="W8" s="40"/>
      <c r="X8" s="40"/>
      <c r="Y8" s="40"/>
      <c r="Z8" s="40"/>
      <c r="AA8" s="40"/>
      <c r="AB8" s="40"/>
      <c r="AC8" s="40"/>
      <c r="AD8" s="40"/>
      <c r="AE8" s="40"/>
      <c r="AF8" s="40"/>
      <c r="AG8" s="40"/>
    </row>
    <row r="9" spans="2:33" ht="14.25" customHeight="1">
      <c r="K9" s="34"/>
      <c r="L9" s="34"/>
      <c r="M9" s="34"/>
      <c r="N9" s="34"/>
      <c r="O9" s="34"/>
      <c r="P9" s="34"/>
      <c r="Q9" s="34"/>
      <c r="R9" s="34"/>
      <c r="S9" s="34"/>
      <c r="T9" s="34"/>
      <c r="U9" s="34"/>
      <c r="V9" s="34"/>
      <c r="W9" s="34"/>
      <c r="X9" s="34"/>
      <c r="Y9" s="34"/>
      <c r="Z9" s="34"/>
      <c r="AA9" s="34"/>
      <c r="AB9" s="34"/>
      <c r="AC9" s="34"/>
      <c r="AD9" s="34"/>
      <c r="AE9" s="34"/>
      <c r="AF9" s="34"/>
      <c r="AG9" s="34"/>
    </row>
    <row r="10" spans="2:33" ht="14.25" customHeight="1">
      <c r="E10" s="25" t="s">
        <v>556</v>
      </c>
      <c r="K10" s="38">
        <f>Dates!O16</f>
        <v>0</v>
      </c>
      <c r="L10" s="38">
        <f>Dates!P16</f>
        <v>1</v>
      </c>
      <c r="M10" s="38">
        <f>Dates!Q16</f>
        <v>1</v>
      </c>
      <c r="N10" s="38">
        <f>Dates!R16</f>
        <v>0</v>
      </c>
      <c r="O10" s="38">
        <f>Dates!S16</f>
        <v>0</v>
      </c>
      <c r="P10" s="38">
        <f>Dates!T16</f>
        <v>0</v>
      </c>
      <c r="Q10" s="38">
        <f>Dates!U16</f>
        <v>0</v>
      </c>
      <c r="R10" s="38">
        <f>Dates!V16</f>
        <v>0</v>
      </c>
      <c r="S10" s="38">
        <f>Dates!W16</f>
        <v>0</v>
      </c>
      <c r="T10" s="38">
        <f>Dates!X16</f>
        <v>0</v>
      </c>
      <c r="U10" s="38">
        <f>Dates!Y16</f>
        <v>0</v>
      </c>
      <c r="V10" s="38">
        <f>Dates!Z16</f>
        <v>0</v>
      </c>
      <c r="W10" s="38">
        <f>Dates!AA16</f>
        <v>0</v>
      </c>
      <c r="X10" s="38">
        <f>Dates!AB16</f>
        <v>0</v>
      </c>
      <c r="Y10" s="38">
        <f>Dates!AC16</f>
        <v>0</v>
      </c>
      <c r="Z10" s="38">
        <f>Dates!AD16</f>
        <v>0</v>
      </c>
      <c r="AA10" s="38">
        <f>Dates!AE16</f>
        <v>0</v>
      </c>
      <c r="AB10" s="38">
        <f>Dates!AF16</f>
        <v>0</v>
      </c>
      <c r="AC10" s="38">
        <f>Dates!AG16</f>
        <v>0</v>
      </c>
      <c r="AD10" s="38">
        <f>Dates!AH16</f>
        <v>0</v>
      </c>
      <c r="AE10" s="38">
        <f>Dates!AI16</f>
        <v>0</v>
      </c>
      <c r="AF10" s="38">
        <f>Dates!AJ16</f>
        <v>0</v>
      </c>
      <c r="AG10" s="100">
        <f>Dates!AK16</f>
        <v>0</v>
      </c>
    </row>
    <row r="11" spans="2:33" ht="14.25" customHeight="1">
      <c r="E11" s="25" t="s">
        <v>557</v>
      </c>
      <c r="K11" s="38">
        <f>Dates!O17</f>
        <v>0</v>
      </c>
      <c r="L11" s="38">
        <f>Dates!P17</f>
        <v>0</v>
      </c>
      <c r="M11" s="38">
        <f>Dates!Q17</f>
        <v>0</v>
      </c>
      <c r="N11" s="38">
        <f>Dates!R17</f>
        <v>1</v>
      </c>
      <c r="O11" s="38">
        <f>Dates!S17</f>
        <v>1</v>
      </c>
      <c r="P11" s="38">
        <f>Dates!T17</f>
        <v>1</v>
      </c>
      <c r="Q11" s="38">
        <f>Dates!U17</f>
        <v>1</v>
      </c>
      <c r="R11" s="38">
        <f>Dates!V17</f>
        <v>1</v>
      </c>
      <c r="S11" s="38">
        <f>Dates!W17</f>
        <v>1</v>
      </c>
      <c r="T11" s="38">
        <f>Dates!X17</f>
        <v>1</v>
      </c>
      <c r="U11" s="38">
        <f>Dates!Y17</f>
        <v>1</v>
      </c>
      <c r="V11" s="38">
        <f>Dates!Z17</f>
        <v>1</v>
      </c>
      <c r="W11" s="38">
        <f>Dates!AA17</f>
        <v>1</v>
      </c>
      <c r="X11" s="38">
        <f>Dates!AB17</f>
        <v>1</v>
      </c>
      <c r="Y11" s="38">
        <f>Dates!AC17</f>
        <v>1</v>
      </c>
      <c r="Z11" s="38">
        <f>Dates!AD17</f>
        <v>1</v>
      </c>
      <c r="AA11" s="38">
        <f>Dates!AE17</f>
        <v>1</v>
      </c>
      <c r="AB11" s="38">
        <f>Dates!AF17</f>
        <v>1</v>
      </c>
      <c r="AC11" s="38">
        <f>Dates!AG17</f>
        <v>1</v>
      </c>
      <c r="AD11" s="38">
        <f>Dates!AH17</f>
        <v>1</v>
      </c>
      <c r="AE11" s="38">
        <f>Dates!AI17</f>
        <v>1</v>
      </c>
      <c r="AF11" s="38">
        <f>Dates!AJ17</f>
        <v>1</v>
      </c>
      <c r="AG11" s="100">
        <f>Dates!AK17</f>
        <v>1</v>
      </c>
    </row>
    <row r="12" spans="2:33" ht="14.25" customHeight="1">
      <c r="E12" s="25" t="s">
        <v>103</v>
      </c>
      <c r="F12" s="7" t="s">
        <v>619</v>
      </c>
      <c r="G12" s="233">
        <f>Inputs!$I$27</f>
        <v>2</v>
      </c>
      <c r="K12" s="34"/>
      <c r="L12" s="34"/>
      <c r="M12" s="34"/>
      <c r="N12" s="34"/>
      <c r="O12" s="34"/>
      <c r="P12" s="34"/>
      <c r="Q12" s="34"/>
      <c r="R12" s="34"/>
      <c r="S12" s="34"/>
      <c r="T12" s="34"/>
      <c r="U12" s="34"/>
      <c r="V12" s="34"/>
      <c r="W12" s="34"/>
      <c r="X12" s="34"/>
      <c r="Y12" s="34"/>
      <c r="Z12" s="34"/>
      <c r="AA12" s="34"/>
      <c r="AB12" s="34"/>
      <c r="AC12" s="34"/>
      <c r="AD12" s="34"/>
      <c r="AE12" s="34"/>
      <c r="AF12" s="34"/>
      <c r="AG12" s="34"/>
    </row>
    <row r="13" spans="2:33" ht="14.25" customHeight="1">
      <c r="K13" s="34"/>
      <c r="L13" s="34"/>
      <c r="M13" s="34"/>
      <c r="N13" s="34"/>
      <c r="O13" s="34"/>
      <c r="P13" s="34"/>
      <c r="Q13" s="34"/>
      <c r="R13" s="34"/>
      <c r="S13" s="34"/>
      <c r="T13" s="34"/>
      <c r="U13" s="34"/>
      <c r="V13" s="34"/>
      <c r="W13" s="34"/>
      <c r="X13" s="34"/>
      <c r="Y13" s="34"/>
      <c r="Z13" s="34"/>
      <c r="AA13" s="34"/>
      <c r="AB13" s="34"/>
      <c r="AC13" s="34"/>
      <c r="AD13" s="34"/>
      <c r="AE13" s="34"/>
      <c r="AF13" s="34"/>
      <c r="AG13" s="34"/>
    </row>
    <row r="14" spans="2:33" ht="14.25" customHeight="1">
      <c r="B14" s="40"/>
      <c r="C14" s="14" t="s">
        <v>620</v>
      </c>
      <c r="D14" s="40"/>
      <c r="E14" s="40"/>
      <c r="F14" s="40"/>
      <c r="G14" s="40"/>
      <c r="H14" s="101">
        <f>IF(SUMPRODUCT(((K26:AG26+K127:AG127)&gt;(K22:AG22+0.01))*1)=0,0,1)</f>
        <v>0</v>
      </c>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row>
    <row r="16" spans="2:33" ht="14.25" customHeight="1">
      <c r="E16" s="25" t="s">
        <v>621</v>
      </c>
      <c r="F16" s="7" t="s">
        <v>55</v>
      </c>
      <c r="K16" s="62">
        <f t="shared" ref="K16:AG16" si="0">MAX(0,K6-($G$12+1))</f>
        <v>0</v>
      </c>
      <c r="L16" s="62">
        <f t="shared" si="0"/>
        <v>0</v>
      </c>
      <c r="M16" s="62">
        <f t="shared" si="0"/>
        <v>0</v>
      </c>
      <c r="N16" s="62">
        <f t="shared" si="0"/>
        <v>0</v>
      </c>
      <c r="O16" s="62">
        <f t="shared" si="0"/>
        <v>1</v>
      </c>
      <c r="P16" s="62">
        <f t="shared" si="0"/>
        <v>2</v>
      </c>
      <c r="Q16" s="62">
        <f t="shared" si="0"/>
        <v>3</v>
      </c>
      <c r="R16" s="62">
        <f t="shared" si="0"/>
        <v>4</v>
      </c>
      <c r="S16" s="62">
        <f t="shared" si="0"/>
        <v>5</v>
      </c>
      <c r="T16" s="62">
        <f t="shared" si="0"/>
        <v>6</v>
      </c>
      <c r="U16" s="62">
        <f t="shared" si="0"/>
        <v>7</v>
      </c>
      <c r="V16" s="62">
        <f t="shared" si="0"/>
        <v>8</v>
      </c>
      <c r="W16" s="62">
        <f t="shared" si="0"/>
        <v>9</v>
      </c>
      <c r="X16" s="62">
        <f t="shared" si="0"/>
        <v>10</v>
      </c>
      <c r="Y16" s="62">
        <f t="shared" si="0"/>
        <v>11</v>
      </c>
      <c r="Z16" s="62">
        <f t="shared" si="0"/>
        <v>12</v>
      </c>
      <c r="AA16" s="62">
        <f t="shared" si="0"/>
        <v>13</v>
      </c>
      <c r="AB16" s="62">
        <f t="shared" si="0"/>
        <v>14</v>
      </c>
      <c r="AC16" s="62">
        <f t="shared" si="0"/>
        <v>15</v>
      </c>
      <c r="AD16" s="62">
        <f t="shared" si="0"/>
        <v>16</v>
      </c>
      <c r="AE16" s="62">
        <f t="shared" si="0"/>
        <v>17</v>
      </c>
      <c r="AF16" s="62">
        <f t="shared" si="0"/>
        <v>18</v>
      </c>
      <c r="AG16" s="102">
        <f t="shared" si="0"/>
        <v>19</v>
      </c>
    </row>
    <row r="17" spans="2:33" ht="14.25" customHeight="1">
      <c r="E17" s="25" t="s">
        <v>381</v>
      </c>
      <c r="F17" s="7" t="s">
        <v>71</v>
      </c>
      <c r="G17" s="235">
        <f>Inputs!$I$93</f>
        <v>1900</v>
      </c>
    </row>
    <row r="18" spans="2:33" ht="14.25" customHeight="1">
      <c r="E18" s="25" t="s">
        <v>114</v>
      </c>
      <c r="F18" s="7" t="s">
        <v>115</v>
      </c>
      <c r="G18" s="236">
        <f>Inputs!$I$43</f>
        <v>0.9</v>
      </c>
    </row>
    <row r="19" spans="2:33" ht="14.25" customHeight="1">
      <c r="E19" s="25" t="s">
        <v>248</v>
      </c>
      <c r="F19" s="7" t="s">
        <v>201</v>
      </c>
      <c r="G19" s="237">
        <f>Inputs!$I$156</f>
        <v>2E-3</v>
      </c>
    </row>
    <row r="20" spans="2:33" ht="14.25" customHeight="1">
      <c r="E20" s="25" t="s">
        <v>622</v>
      </c>
      <c r="F20" s="7" t="s">
        <v>71</v>
      </c>
      <c r="G20" s="235">
        <f>Inputs!$I$45</f>
        <v>3329.3991839999999</v>
      </c>
      <c r="H20" s="234"/>
    </row>
    <row r="21" spans="2:33" ht="14.25" customHeight="1">
      <c r="E21" s="25" t="s">
        <v>623</v>
      </c>
      <c r="F21" s="7" t="s">
        <v>115</v>
      </c>
      <c r="G21" s="236">
        <f>Inputs!$I$38</f>
        <v>0.95</v>
      </c>
    </row>
    <row r="22" spans="2:33" ht="14.25" customHeight="1">
      <c r="E22" s="25" t="s">
        <v>624</v>
      </c>
      <c r="F22" s="7" t="s">
        <v>522</v>
      </c>
      <c r="K22" s="36">
        <f t="shared" ref="K22:AG22" si="1">$G$20</f>
        <v>3329.3991839999999</v>
      </c>
      <c r="L22" s="36">
        <f t="shared" si="1"/>
        <v>3329.3991839999999</v>
      </c>
      <c r="M22" s="36">
        <f t="shared" si="1"/>
        <v>3329.3991839999999</v>
      </c>
      <c r="N22" s="36">
        <f t="shared" si="1"/>
        <v>3329.3991839999999</v>
      </c>
      <c r="O22" s="36">
        <f t="shared" si="1"/>
        <v>3329.3991839999999</v>
      </c>
      <c r="P22" s="36">
        <f t="shared" si="1"/>
        <v>3329.3991839999999</v>
      </c>
      <c r="Q22" s="36">
        <f t="shared" si="1"/>
        <v>3329.3991839999999</v>
      </c>
      <c r="R22" s="36">
        <f t="shared" si="1"/>
        <v>3329.3991839999999</v>
      </c>
      <c r="S22" s="36">
        <f t="shared" si="1"/>
        <v>3329.3991839999999</v>
      </c>
      <c r="T22" s="36">
        <f t="shared" si="1"/>
        <v>3329.3991839999999</v>
      </c>
      <c r="U22" s="36">
        <f t="shared" si="1"/>
        <v>3329.3991839999999</v>
      </c>
      <c r="V22" s="36">
        <f t="shared" si="1"/>
        <v>3329.3991839999999</v>
      </c>
      <c r="W22" s="36">
        <f t="shared" si="1"/>
        <v>3329.3991839999999</v>
      </c>
      <c r="X22" s="36">
        <f t="shared" si="1"/>
        <v>3329.3991839999999</v>
      </c>
      <c r="Y22" s="36">
        <f t="shared" si="1"/>
        <v>3329.3991839999999</v>
      </c>
      <c r="Z22" s="36">
        <f t="shared" si="1"/>
        <v>3329.3991839999999</v>
      </c>
      <c r="AA22" s="36">
        <f t="shared" si="1"/>
        <v>3329.3991839999999</v>
      </c>
      <c r="AB22" s="36">
        <f t="shared" si="1"/>
        <v>3329.3991839999999</v>
      </c>
      <c r="AC22" s="36">
        <f t="shared" si="1"/>
        <v>3329.3991839999999</v>
      </c>
      <c r="AD22" s="36">
        <f t="shared" si="1"/>
        <v>3329.3991839999999</v>
      </c>
      <c r="AE22" s="36">
        <f t="shared" si="1"/>
        <v>3329.3991839999999</v>
      </c>
      <c r="AF22" s="36">
        <f t="shared" si="1"/>
        <v>3329.3991839999999</v>
      </c>
      <c r="AG22" s="36">
        <f t="shared" si="1"/>
        <v>3329.3991839999999</v>
      </c>
    </row>
    <row r="23" spans="2:33" ht="14.25" customHeight="1">
      <c r="E23" s="25" t="s">
        <v>625</v>
      </c>
      <c r="F23" s="7" t="s">
        <v>522</v>
      </c>
      <c r="I23" s="103">
        <f>SUM(K23:AG23)</f>
        <v>38000</v>
      </c>
      <c r="K23" s="36">
        <f t="shared" ref="K23:AG23" si="2">$G$17*K11</f>
        <v>0</v>
      </c>
      <c r="L23" s="36">
        <f t="shared" si="2"/>
        <v>0</v>
      </c>
      <c r="M23" s="36">
        <f t="shared" si="2"/>
        <v>0</v>
      </c>
      <c r="N23" s="36">
        <f t="shared" si="2"/>
        <v>1900</v>
      </c>
      <c r="O23" s="36">
        <f t="shared" si="2"/>
        <v>1900</v>
      </c>
      <c r="P23" s="36">
        <f t="shared" si="2"/>
        <v>1900</v>
      </c>
      <c r="Q23" s="36">
        <f t="shared" si="2"/>
        <v>1900</v>
      </c>
      <c r="R23" s="36">
        <f t="shared" si="2"/>
        <v>1900</v>
      </c>
      <c r="S23" s="36">
        <f t="shared" si="2"/>
        <v>1900</v>
      </c>
      <c r="T23" s="36">
        <f t="shared" si="2"/>
        <v>1900</v>
      </c>
      <c r="U23" s="36">
        <f t="shared" si="2"/>
        <v>1900</v>
      </c>
      <c r="V23" s="36">
        <f t="shared" si="2"/>
        <v>1900</v>
      </c>
      <c r="W23" s="36">
        <f t="shared" si="2"/>
        <v>1900</v>
      </c>
      <c r="X23" s="36">
        <f t="shared" si="2"/>
        <v>1900</v>
      </c>
      <c r="Y23" s="36">
        <f t="shared" si="2"/>
        <v>1900</v>
      </c>
      <c r="Z23" s="36">
        <f t="shared" si="2"/>
        <v>1900</v>
      </c>
      <c r="AA23" s="36">
        <f t="shared" si="2"/>
        <v>1900</v>
      </c>
      <c r="AB23" s="36">
        <f t="shared" si="2"/>
        <v>1900</v>
      </c>
      <c r="AC23" s="36">
        <f t="shared" si="2"/>
        <v>1900</v>
      </c>
      <c r="AD23" s="36">
        <f t="shared" si="2"/>
        <v>1900</v>
      </c>
      <c r="AE23" s="36">
        <f t="shared" si="2"/>
        <v>1900</v>
      </c>
      <c r="AF23" s="36">
        <f t="shared" si="2"/>
        <v>1900</v>
      </c>
      <c r="AG23" s="36">
        <f t="shared" si="2"/>
        <v>1900</v>
      </c>
    </row>
    <row r="24" spans="2:33" ht="14.25" customHeight="1">
      <c r="E24" s="25" t="s">
        <v>626</v>
      </c>
      <c r="F24" s="7" t="s">
        <v>226</v>
      </c>
      <c r="K24" s="104">
        <f t="shared" ref="K24:AG24" si="3">(1-$G$19)^K16</f>
        <v>1</v>
      </c>
      <c r="L24" s="104">
        <f t="shared" si="3"/>
        <v>1</v>
      </c>
      <c r="M24" s="104">
        <f t="shared" si="3"/>
        <v>1</v>
      </c>
      <c r="N24" s="104">
        <f t="shared" si="3"/>
        <v>1</v>
      </c>
      <c r="O24" s="104">
        <f t="shared" si="3"/>
        <v>0.998</v>
      </c>
      <c r="P24" s="104">
        <f t="shared" si="3"/>
        <v>0.996004</v>
      </c>
      <c r="Q24" s="104">
        <f t="shared" si="3"/>
        <v>0.99401199200000001</v>
      </c>
      <c r="R24" s="104">
        <f t="shared" si="3"/>
        <v>0.99202396801600001</v>
      </c>
      <c r="S24" s="104">
        <f t="shared" si="3"/>
        <v>0.99003992007996799</v>
      </c>
      <c r="T24" s="104">
        <f t="shared" si="3"/>
        <v>0.98805984023980808</v>
      </c>
      <c r="U24" s="104">
        <f t="shared" si="3"/>
        <v>0.98608372055932847</v>
      </c>
      <c r="V24" s="104">
        <f t="shared" si="3"/>
        <v>0.98411155311820986</v>
      </c>
      <c r="W24" s="104">
        <f t="shared" si="3"/>
        <v>0.9821433300119734</v>
      </c>
      <c r="X24" s="104">
        <f t="shared" si="3"/>
        <v>0.9801790433519495</v>
      </c>
      <c r="Y24" s="104">
        <f t="shared" si="3"/>
        <v>0.97821868526524558</v>
      </c>
      <c r="Z24" s="104">
        <f t="shared" si="3"/>
        <v>0.97626224789471516</v>
      </c>
      <c r="AA24" s="104">
        <f t="shared" si="3"/>
        <v>0.97430972339892563</v>
      </c>
      <c r="AB24" s="104">
        <f t="shared" si="3"/>
        <v>0.97236110395212783</v>
      </c>
      <c r="AC24" s="104">
        <f t="shared" si="3"/>
        <v>0.97041638174422362</v>
      </c>
      <c r="AD24" s="104">
        <f t="shared" si="3"/>
        <v>0.96847554898073518</v>
      </c>
      <c r="AE24" s="104">
        <f t="shared" si="3"/>
        <v>0.96653859788277374</v>
      </c>
      <c r="AF24" s="104">
        <f t="shared" si="3"/>
        <v>0.96460552068700811</v>
      </c>
      <c r="AG24" s="104">
        <f t="shared" si="3"/>
        <v>0.96267630964563411</v>
      </c>
    </row>
    <row r="25" spans="2:33" ht="14.25" customHeight="1">
      <c r="E25" s="25" t="s">
        <v>627</v>
      </c>
      <c r="F25" s="7" t="s">
        <v>522</v>
      </c>
      <c r="K25" s="36">
        <f>Inputs_Dynamic!$T$17*K24*K11</f>
        <v>0</v>
      </c>
      <c r="L25" s="36">
        <f>Inputs_Dynamic!$T$17*L24*L11</f>
        <v>0</v>
      </c>
      <c r="M25" s="36">
        <f>Inputs_Dynamic!$T$17*M24*M11</f>
        <v>0</v>
      </c>
      <c r="N25" s="36">
        <f>Inputs_Dynamic!$T$17*N24*N11</f>
        <v>1643.2978612800002</v>
      </c>
      <c r="O25" s="36">
        <f>Inputs_Dynamic!$T$17*O24*O11</f>
        <v>1640.0112655574403</v>
      </c>
      <c r="P25" s="36">
        <f>Inputs_Dynamic!$T$17*P24*P11</f>
        <v>1636.7312430263253</v>
      </c>
      <c r="Q25" s="36">
        <f>Inputs_Dynamic!$T$17*Q24*Q11</f>
        <v>1633.4577805402728</v>
      </c>
      <c r="R25" s="36">
        <f>Inputs_Dynamic!$T$17*R24*R11</f>
        <v>1630.1908649791922</v>
      </c>
      <c r="S25" s="36">
        <f>Inputs_Dynamic!$T$17*S24*S11</f>
        <v>1626.9304832492337</v>
      </c>
      <c r="T25" s="36">
        <f>Inputs_Dynamic!$T$17*T24*T11</f>
        <v>1623.6766222827353</v>
      </c>
      <c r="U25" s="36">
        <f>Inputs_Dynamic!$T$17*U24*U11</f>
        <v>1620.4292690381699</v>
      </c>
      <c r="V25" s="36">
        <f>Inputs_Dynamic!$T$17*V24*V11</f>
        <v>1617.1884105000936</v>
      </c>
      <c r="W25" s="36">
        <f>Inputs_Dynamic!$T$17*W24*W11</f>
        <v>1613.9540336790933</v>
      </c>
      <c r="X25" s="36">
        <f>Inputs_Dynamic!$T$17*X24*X11</f>
        <v>1610.7261256117351</v>
      </c>
      <c r="Y25" s="36">
        <f>Inputs_Dynamic!$T$17*Y24*Y11</f>
        <v>1607.5046733605118</v>
      </c>
      <c r="Z25" s="36">
        <f>Inputs_Dynamic!$T$17*Z24*Z11</f>
        <v>1604.2896640137908</v>
      </c>
      <c r="AA25" s="36">
        <f>Inputs_Dynamic!$T$17*AA24*AA11</f>
        <v>1601.081084685763</v>
      </c>
      <c r="AB25" s="36">
        <f>Inputs_Dynamic!$T$17*AB24*AB11</f>
        <v>1597.8789225163916</v>
      </c>
      <c r="AC25" s="36">
        <f>Inputs_Dynamic!$T$17*AC24*AC11</f>
        <v>1594.683164671359</v>
      </c>
      <c r="AD25" s="36">
        <f>Inputs_Dynamic!$T$17*AD24*AD11</f>
        <v>1591.4937983420161</v>
      </c>
      <c r="AE25" s="36">
        <f>Inputs_Dynamic!$T$17*AE24*AE11</f>
        <v>1588.3108107453322</v>
      </c>
      <c r="AF25" s="36">
        <f>Inputs_Dynamic!$T$17*AF24*AF11</f>
        <v>1585.1341891238415</v>
      </c>
      <c r="AG25" s="36">
        <f>Inputs_Dynamic!$T$17*AG24*AG11</f>
        <v>1581.9639207455939</v>
      </c>
    </row>
    <row r="26" spans="2:33" ht="14.25" customHeight="1">
      <c r="E26" s="25" t="s">
        <v>70</v>
      </c>
      <c r="F26" s="7" t="s">
        <v>522</v>
      </c>
      <c r="I26" s="103">
        <f>SUM(K26:AG26)</f>
        <v>32248.934187948897</v>
      </c>
      <c r="K26" s="36">
        <f>MIN(K25,K23)*K11</f>
        <v>0</v>
      </c>
      <c r="L26" s="36">
        <f t="shared" ref="L26:AG26" si="4">MIN(L25,L23)*L11</f>
        <v>0</v>
      </c>
      <c r="M26" s="36">
        <f t="shared" si="4"/>
        <v>0</v>
      </c>
      <c r="N26" s="36">
        <f t="shared" si="4"/>
        <v>1643.2978612800002</v>
      </c>
      <c r="O26" s="36">
        <f t="shared" si="4"/>
        <v>1640.0112655574403</v>
      </c>
      <c r="P26" s="36">
        <f t="shared" si="4"/>
        <v>1636.7312430263253</v>
      </c>
      <c r="Q26" s="36">
        <f t="shared" si="4"/>
        <v>1633.4577805402728</v>
      </c>
      <c r="R26" s="36">
        <f t="shared" si="4"/>
        <v>1630.1908649791922</v>
      </c>
      <c r="S26" s="36">
        <f t="shared" si="4"/>
        <v>1626.9304832492337</v>
      </c>
      <c r="T26" s="36">
        <f t="shared" si="4"/>
        <v>1623.6766222827353</v>
      </c>
      <c r="U26" s="36">
        <f t="shared" si="4"/>
        <v>1620.4292690381699</v>
      </c>
      <c r="V26" s="36">
        <f t="shared" si="4"/>
        <v>1617.1884105000936</v>
      </c>
      <c r="W26" s="36">
        <f t="shared" si="4"/>
        <v>1613.9540336790933</v>
      </c>
      <c r="X26" s="36">
        <f t="shared" si="4"/>
        <v>1610.7261256117351</v>
      </c>
      <c r="Y26" s="36">
        <f t="shared" si="4"/>
        <v>1607.5046733605118</v>
      </c>
      <c r="Z26" s="36">
        <f t="shared" si="4"/>
        <v>1604.2896640137908</v>
      </c>
      <c r="AA26" s="36">
        <f t="shared" si="4"/>
        <v>1601.081084685763</v>
      </c>
      <c r="AB26" s="36">
        <f t="shared" si="4"/>
        <v>1597.8789225163916</v>
      </c>
      <c r="AC26" s="36">
        <f t="shared" si="4"/>
        <v>1594.683164671359</v>
      </c>
      <c r="AD26" s="36">
        <f t="shared" si="4"/>
        <v>1591.4937983420161</v>
      </c>
      <c r="AE26" s="36">
        <f t="shared" si="4"/>
        <v>1588.3108107453322</v>
      </c>
      <c r="AF26" s="36">
        <f t="shared" si="4"/>
        <v>1585.1341891238415</v>
      </c>
      <c r="AG26" s="36">
        <f t="shared" si="4"/>
        <v>1581.9639207455939</v>
      </c>
    </row>
    <row r="27" spans="2:33" ht="14.25" customHeight="1">
      <c r="E27" s="25" t="s">
        <v>628</v>
      </c>
      <c r="F27" s="7" t="s">
        <v>522</v>
      </c>
      <c r="I27" s="105">
        <f>SUM(K27:AG27)</f>
        <v>5751.0658120511071</v>
      </c>
      <c r="K27" s="36">
        <f t="shared" ref="K27:AG27" si="5">K23-K26</f>
        <v>0</v>
      </c>
      <c r="L27" s="36">
        <f t="shared" si="5"/>
        <v>0</v>
      </c>
      <c r="M27" s="36">
        <f t="shared" si="5"/>
        <v>0</v>
      </c>
      <c r="N27" s="36">
        <f t="shared" si="5"/>
        <v>256.70213871999977</v>
      </c>
      <c r="O27" s="36">
        <f t="shared" si="5"/>
        <v>259.98873444255969</v>
      </c>
      <c r="P27" s="36">
        <f t="shared" si="5"/>
        <v>263.26875697367473</v>
      </c>
      <c r="Q27" s="36">
        <f t="shared" si="5"/>
        <v>266.54221945972722</v>
      </c>
      <c r="R27" s="36">
        <f t="shared" si="5"/>
        <v>269.80913502080784</v>
      </c>
      <c r="S27" s="36">
        <f t="shared" si="5"/>
        <v>273.0695167507663</v>
      </c>
      <c r="T27" s="36">
        <f t="shared" si="5"/>
        <v>276.32337771726475</v>
      </c>
      <c r="U27" s="36">
        <f t="shared" si="5"/>
        <v>279.57073096183012</v>
      </c>
      <c r="V27" s="36">
        <f t="shared" si="5"/>
        <v>282.8115894999064</v>
      </c>
      <c r="W27" s="36">
        <f t="shared" si="5"/>
        <v>286.0459663209067</v>
      </c>
      <c r="X27" s="36">
        <f t="shared" si="5"/>
        <v>289.27387438826486</v>
      </c>
      <c r="Y27" s="36">
        <f t="shared" si="5"/>
        <v>292.49532663948821</v>
      </c>
      <c r="Z27" s="36">
        <f t="shared" si="5"/>
        <v>295.7103359862092</v>
      </c>
      <c r="AA27" s="36">
        <f t="shared" si="5"/>
        <v>298.91891531423698</v>
      </c>
      <c r="AB27" s="36">
        <f t="shared" si="5"/>
        <v>302.12107748360836</v>
      </c>
      <c r="AC27" s="36">
        <f t="shared" si="5"/>
        <v>305.31683532864099</v>
      </c>
      <c r="AD27" s="36">
        <f t="shared" si="5"/>
        <v>308.50620165798387</v>
      </c>
      <c r="AE27" s="36">
        <f t="shared" si="5"/>
        <v>311.68918925466778</v>
      </c>
      <c r="AF27" s="36">
        <f t="shared" si="5"/>
        <v>314.86581087615855</v>
      </c>
      <c r="AG27" s="36">
        <f t="shared" si="5"/>
        <v>318.0360792544061</v>
      </c>
    </row>
    <row r="28" spans="2:33" ht="14.25" customHeight="1">
      <c r="E28" s="106" t="s">
        <v>629</v>
      </c>
      <c r="F28" s="107" t="s">
        <v>522</v>
      </c>
      <c r="G28" s="108"/>
      <c r="H28" s="108"/>
      <c r="I28" s="109">
        <f>SUM(K28:AG28)</f>
        <v>32248.934187948897</v>
      </c>
      <c r="J28" s="108"/>
      <c r="K28" s="110">
        <f t="shared" ref="K28:AG28" si="6">MIN(K22,K26+K127)*K11</f>
        <v>0</v>
      </c>
      <c r="L28" s="110">
        <f t="shared" si="6"/>
        <v>0</v>
      </c>
      <c r="M28" s="110">
        <f t="shared" si="6"/>
        <v>0</v>
      </c>
      <c r="N28" s="110">
        <f t="shared" si="6"/>
        <v>1643.2978612800002</v>
      </c>
      <c r="O28" s="110">
        <f t="shared" si="6"/>
        <v>1640.0112655574403</v>
      </c>
      <c r="P28" s="110">
        <f t="shared" si="6"/>
        <v>1636.7312430263253</v>
      </c>
      <c r="Q28" s="110">
        <f t="shared" si="6"/>
        <v>1633.4577805402728</v>
      </c>
      <c r="R28" s="110">
        <f t="shared" si="6"/>
        <v>1630.1908649791922</v>
      </c>
      <c r="S28" s="110">
        <f t="shared" si="6"/>
        <v>1626.9304832492337</v>
      </c>
      <c r="T28" s="110">
        <f t="shared" si="6"/>
        <v>1623.6766222827353</v>
      </c>
      <c r="U28" s="110">
        <f t="shared" si="6"/>
        <v>1620.4292690381699</v>
      </c>
      <c r="V28" s="110">
        <f t="shared" si="6"/>
        <v>1617.1884105000936</v>
      </c>
      <c r="W28" s="110">
        <f t="shared" si="6"/>
        <v>1613.9540336790933</v>
      </c>
      <c r="X28" s="110">
        <f t="shared" si="6"/>
        <v>1610.7261256117351</v>
      </c>
      <c r="Y28" s="110">
        <f t="shared" si="6"/>
        <v>1607.5046733605118</v>
      </c>
      <c r="Z28" s="110">
        <f t="shared" si="6"/>
        <v>1604.2896640137908</v>
      </c>
      <c r="AA28" s="110">
        <f t="shared" si="6"/>
        <v>1601.081084685763</v>
      </c>
      <c r="AB28" s="110">
        <f t="shared" si="6"/>
        <v>1597.8789225163916</v>
      </c>
      <c r="AC28" s="110">
        <f t="shared" si="6"/>
        <v>1594.683164671359</v>
      </c>
      <c r="AD28" s="110">
        <f t="shared" si="6"/>
        <v>1591.4937983420161</v>
      </c>
      <c r="AE28" s="110">
        <f t="shared" si="6"/>
        <v>1588.3108107453322</v>
      </c>
      <c r="AF28" s="110">
        <f t="shared" si="6"/>
        <v>1585.1341891238415</v>
      </c>
      <c r="AG28" s="110">
        <f t="shared" si="6"/>
        <v>1581.9639207455939</v>
      </c>
    </row>
    <row r="30" spans="2:33" ht="14.25" customHeight="1">
      <c r="B30" s="40"/>
      <c r="C30" s="14" t="s">
        <v>129</v>
      </c>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row>
    <row r="32" spans="2:33" ht="14.25" customHeight="1">
      <c r="E32" s="25" t="s">
        <v>132</v>
      </c>
      <c r="F32" s="7" t="s">
        <v>115</v>
      </c>
      <c r="G32" s="236">
        <f>Inputs!$I$63</f>
        <v>0.9</v>
      </c>
    </row>
    <row r="33" spans="2:33" ht="14.25" customHeight="1">
      <c r="E33" s="25" t="s">
        <v>630</v>
      </c>
      <c r="F33" s="7" t="str">
        <f>Inputs!$D$7</f>
        <v>HUF</v>
      </c>
      <c r="I33" s="46">
        <f>SUM(K33:AG33)</f>
        <v>0</v>
      </c>
      <c r="K33" s="85">
        <f>$G$116*Timing!O19*K11</f>
        <v>0</v>
      </c>
      <c r="L33" s="85">
        <f>$G$116*Timing!P19*L11</f>
        <v>0</v>
      </c>
      <c r="M33" s="85">
        <f>$G$116*Timing!Q19*M11</f>
        <v>0</v>
      </c>
      <c r="N33" s="85">
        <f>$G$116*Timing!R19*N11</f>
        <v>0</v>
      </c>
      <c r="O33" s="85">
        <f>$G$116*Timing!S19*O11</f>
        <v>0</v>
      </c>
      <c r="P33" s="85">
        <f>$G$116*Timing!T19*P11</f>
        <v>0</v>
      </c>
      <c r="Q33" s="85">
        <f>$G$116*Timing!U19*Q11</f>
        <v>0</v>
      </c>
      <c r="R33" s="85">
        <f>$G$116*Timing!V19*R11</f>
        <v>0</v>
      </c>
      <c r="S33" s="85">
        <f>$G$116*Timing!W19*S11</f>
        <v>0</v>
      </c>
      <c r="T33" s="85">
        <f>$G$116*Timing!X19*T11</f>
        <v>0</v>
      </c>
      <c r="U33" s="85">
        <f>$G$116*Timing!Y19*U11</f>
        <v>0</v>
      </c>
      <c r="V33" s="85">
        <f>$G$116*Timing!Z19*V11</f>
        <v>0</v>
      </c>
      <c r="W33" s="85">
        <f>$G$116*Timing!AA19*W11</f>
        <v>0</v>
      </c>
      <c r="X33" s="85">
        <f>$G$116*Timing!AB19*X11</f>
        <v>0</v>
      </c>
      <c r="Y33" s="85">
        <f>$G$116*Timing!AC19*Y11</f>
        <v>0</v>
      </c>
      <c r="Z33" s="85">
        <f>$G$116*Timing!AD19*Z11</f>
        <v>0</v>
      </c>
      <c r="AA33" s="85">
        <f>$G$116*Timing!AE19*AA11</f>
        <v>0</v>
      </c>
      <c r="AB33" s="85">
        <f>$G$116*Timing!AF19*AB11</f>
        <v>0</v>
      </c>
      <c r="AC33" s="85">
        <f>$G$116*Timing!AG19*AC11</f>
        <v>0</v>
      </c>
      <c r="AD33" s="85">
        <f>$G$116*Timing!AH19*AD11</f>
        <v>0</v>
      </c>
      <c r="AE33" s="85">
        <f>$G$116*Timing!AI19*AE11</f>
        <v>0</v>
      </c>
      <c r="AF33" s="85">
        <f>$G$116*Timing!AJ19*AF11</f>
        <v>0</v>
      </c>
      <c r="AG33" s="85">
        <f>$G$116*Timing!AK19*AG11</f>
        <v>0</v>
      </c>
    </row>
    <row r="35" spans="2:33" ht="14.25" customHeight="1">
      <c r="B35" s="40"/>
      <c r="C35" s="14" t="s">
        <v>631</v>
      </c>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row>
    <row r="37" spans="2:33" ht="14.25" customHeight="1">
      <c r="E37" s="25" t="s">
        <v>632</v>
      </c>
      <c r="F37" s="7" t="s">
        <v>226</v>
      </c>
      <c r="G37" s="238">
        <f>Inputs!$I$51</f>
        <v>8.2037499999999994</v>
      </c>
    </row>
    <row r="38" spans="2:33" ht="14.25" customHeight="1">
      <c r="E38" s="25" t="s">
        <v>246</v>
      </c>
      <c r="F38" s="7" t="s">
        <v>201</v>
      </c>
      <c r="G38" s="239">
        <f>Inputs!$I$155</f>
        <v>5.0000000000000001E-3</v>
      </c>
    </row>
    <row r="39" spans="2:33" ht="14.25" customHeight="1">
      <c r="E39" s="25" t="s">
        <v>191</v>
      </c>
      <c r="F39" s="7" t="s">
        <v>71</v>
      </c>
      <c r="G39" s="240">
        <f>Inputs!$I$106</f>
        <v>50</v>
      </c>
    </row>
    <row r="40" spans="2:33" ht="14.25" customHeight="1">
      <c r="E40" s="25" t="s">
        <v>633</v>
      </c>
      <c r="F40" s="7" t="s">
        <v>71</v>
      </c>
      <c r="G40" s="241">
        <f>IF(Inputs!$I$20="Yes",Inputs!$I$68*Inputs!$I$70/1000,0)</f>
        <v>115</v>
      </c>
      <c r="H40" s="111"/>
    </row>
    <row r="41" spans="2:33" ht="14.25" customHeight="1">
      <c r="E41" s="25" t="s">
        <v>634</v>
      </c>
      <c r="F41" s="7" t="s">
        <v>226</v>
      </c>
      <c r="K41" s="104">
        <f t="shared" ref="K41:AG41" si="7">IF(ISNUMBER($G$37),(1-$G$38)^K16,0)</f>
        <v>1</v>
      </c>
      <c r="L41" s="104">
        <f t="shared" si="7"/>
        <v>1</v>
      </c>
      <c r="M41" s="104">
        <f t="shared" si="7"/>
        <v>1</v>
      </c>
      <c r="N41" s="104">
        <f t="shared" si="7"/>
        <v>1</v>
      </c>
      <c r="O41" s="104">
        <f t="shared" si="7"/>
        <v>0.995</v>
      </c>
      <c r="P41" s="104">
        <f t="shared" si="7"/>
        <v>0.99002500000000004</v>
      </c>
      <c r="Q41" s="104">
        <f t="shared" si="7"/>
        <v>0.98507487500000002</v>
      </c>
      <c r="R41" s="104">
        <f t="shared" si="7"/>
        <v>0.98014950062500006</v>
      </c>
      <c r="S41" s="104">
        <f t="shared" si="7"/>
        <v>0.97524875312187509</v>
      </c>
      <c r="T41" s="104">
        <f t="shared" si="7"/>
        <v>0.97037250935626573</v>
      </c>
      <c r="U41" s="104">
        <f t="shared" si="7"/>
        <v>0.96552064680948435</v>
      </c>
      <c r="V41" s="104">
        <f t="shared" si="7"/>
        <v>0.96069304357543694</v>
      </c>
      <c r="W41" s="104">
        <f t="shared" si="7"/>
        <v>0.95588957835755972</v>
      </c>
      <c r="X41" s="104">
        <f t="shared" si="7"/>
        <v>0.95111013046577197</v>
      </c>
      <c r="Y41" s="104">
        <f t="shared" si="7"/>
        <v>0.94635457981344306</v>
      </c>
      <c r="Z41" s="104">
        <f t="shared" si="7"/>
        <v>0.94162280691437594</v>
      </c>
      <c r="AA41" s="104">
        <f t="shared" si="7"/>
        <v>0.93691469287980411</v>
      </c>
      <c r="AB41" s="104">
        <f t="shared" si="7"/>
        <v>0.93223011941540512</v>
      </c>
      <c r="AC41" s="104">
        <f t="shared" si="7"/>
        <v>0.92756896881832807</v>
      </c>
      <c r="AD41" s="104">
        <f t="shared" si="7"/>
        <v>0.92293112397423638</v>
      </c>
      <c r="AE41" s="104">
        <f t="shared" si="7"/>
        <v>0.9183164683543652</v>
      </c>
      <c r="AF41" s="104">
        <f t="shared" si="7"/>
        <v>0.91372488601259338</v>
      </c>
      <c r="AG41" s="104">
        <f t="shared" si="7"/>
        <v>0.90915626158253038</v>
      </c>
    </row>
    <row r="42" spans="2:33" ht="14.25" customHeight="1">
      <c r="E42" s="25" t="s">
        <v>635</v>
      </c>
      <c r="F42" s="7" t="s">
        <v>226</v>
      </c>
      <c r="K42" s="104">
        <f t="shared" ref="K42:AG42" si="8">IF(ISNUMBER($G$37),$G$37*K41,0)</f>
        <v>8.2037499999999994</v>
      </c>
      <c r="L42" s="104">
        <f t="shared" si="8"/>
        <v>8.2037499999999994</v>
      </c>
      <c r="M42" s="104">
        <f t="shared" si="8"/>
        <v>8.2037499999999994</v>
      </c>
      <c r="N42" s="104">
        <f t="shared" si="8"/>
        <v>8.2037499999999994</v>
      </c>
      <c r="O42" s="104">
        <f t="shared" si="8"/>
        <v>8.1627312500000002</v>
      </c>
      <c r="P42" s="104">
        <f t="shared" si="8"/>
        <v>8.1219175937500001</v>
      </c>
      <c r="Q42" s="104">
        <f t="shared" si="8"/>
        <v>8.0813080057812492</v>
      </c>
      <c r="R42" s="104">
        <f t="shared" si="8"/>
        <v>8.0409014657523432</v>
      </c>
      <c r="S42" s="104">
        <f t="shared" si="8"/>
        <v>8.0006969584235819</v>
      </c>
      <c r="T42" s="104">
        <f t="shared" si="8"/>
        <v>7.9606934736314647</v>
      </c>
      <c r="U42" s="104">
        <f t="shared" si="8"/>
        <v>7.9208900062633063</v>
      </c>
      <c r="V42" s="104">
        <f t="shared" si="8"/>
        <v>7.8812855562319903</v>
      </c>
      <c r="W42" s="104">
        <f t="shared" si="8"/>
        <v>7.84187912845083</v>
      </c>
      <c r="X42" s="104">
        <f t="shared" si="8"/>
        <v>7.8026697328085763</v>
      </c>
      <c r="Y42" s="104">
        <f t="shared" si="8"/>
        <v>7.7636563841445332</v>
      </c>
      <c r="Z42" s="104">
        <f t="shared" si="8"/>
        <v>7.7248381022238108</v>
      </c>
      <c r="AA42" s="104">
        <f t="shared" si="8"/>
        <v>7.6862139117126924</v>
      </c>
      <c r="AB42" s="104">
        <f t="shared" si="8"/>
        <v>7.647782842154129</v>
      </c>
      <c r="AC42" s="104">
        <f t="shared" si="8"/>
        <v>7.6095439279433581</v>
      </c>
      <c r="AD42" s="104">
        <f t="shared" si="8"/>
        <v>7.5714962083036408</v>
      </c>
      <c r="AE42" s="104">
        <f t="shared" si="8"/>
        <v>7.5336387272621232</v>
      </c>
      <c r="AF42" s="104">
        <f t="shared" si="8"/>
        <v>7.4959705336258127</v>
      </c>
      <c r="AG42" s="104">
        <f t="shared" si="8"/>
        <v>7.4584906809576834</v>
      </c>
    </row>
    <row r="43" spans="2:33" ht="14.25" customHeight="1">
      <c r="E43" s="11" t="s">
        <v>75</v>
      </c>
      <c r="F43" s="7" t="s">
        <v>522</v>
      </c>
      <c r="I43" s="103">
        <f>SUM(K43:AG43)</f>
        <v>4123.0649883310216</v>
      </c>
      <c r="K43" s="36">
        <f t="shared" ref="K43:AG43" si="9">IF(K42=0,0,K26/K42)</f>
        <v>0</v>
      </c>
      <c r="L43" s="36">
        <f t="shared" si="9"/>
        <v>0</v>
      </c>
      <c r="M43" s="36">
        <f t="shared" si="9"/>
        <v>0</v>
      </c>
      <c r="N43" s="36">
        <f t="shared" si="9"/>
        <v>200.31057276001832</v>
      </c>
      <c r="O43" s="36">
        <f t="shared" si="9"/>
        <v>200.91452423567665</v>
      </c>
      <c r="P43" s="36">
        <f t="shared" si="9"/>
        <v>201.52029667055808</v>
      </c>
      <c r="Q43" s="36">
        <f t="shared" si="9"/>
        <v>202.12789555499197</v>
      </c>
      <c r="R43" s="36">
        <f t="shared" si="9"/>
        <v>202.73732639586129</v>
      </c>
      <c r="S43" s="36">
        <f t="shared" si="9"/>
        <v>203.3485947166528</v>
      </c>
      <c r="T43" s="36">
        <f t="shared" si="9"/>
        <v>203.961706057507</v>
      </c>
      <c r="U43" s="36">
        <f t="shared" si="9"/>
        <v>204.57666597526838</v>
      </c>
      <c r="V43" s="36">
        <f t="shared" si="9"/>
        <v>205.19348004353552</v>
      </c>
      <c r="W43" s="36">
        <f t="shared" si="9"/>
        <v>205.81215385271199</v>
      </c>
      <c r="X43" s="36">
        <f t="shared" si="9"/>
        <v>206.43269301005685</v>
      </c>
      <c r="Y43" s="36">
        <f t="shared" si="9"/>
        <v>207.05510313973542</v>
      </c>
      <c r="Z43" s="36">
        <f t="shared" si="9"/>
        <v>207.67938988287031</v>
      </c>
      <c r="AA43" s="36">
        <f t="shared" si="9"/>
        <v>208.30555889759248</v>
      </c>
      <c r="AB43" s="36">
        <f t="shared" si="9"/>
        <v>208.93361585909278</v>
      </c>
      <c r="AC43" s="36">
        <f t="shared" si="9"/>
        <v>209.56356645967298</v>
      </c>
      <c r="AD43" s="36">
        <f t="shared" si="9"/>
        <v>210.19541640879763</v>
      </c>
      <c r="AE43" s="36">
        <f t="shared" si="9"/>
        <v>210.82917143314577</v>
      </c>
      <c r="AF43" s="36">
        <f t="shared" si="9"/>
        <v>211.46483727666276</v>
      </c>
      <c r="AG43" s="36">
        <f t="shared" si="9"/>
        <v>212.10241970061253</v>
      </c>
    </row>
    <row r="44" spans="2:33" ht="14.25" customHeight="1">
      <c r="E44" s="25" t="s">
        <v>636</v>
      </c>
      <c r="F44" s="7" t="s">
        <v>226</v>
      </c>
      <c r="K44" s="104">
        <f t="shared" ref="K44:AG44" si="10">(1-$G$19)^K16</f>
        <v>1</v>
      </c>
      <c r="L44" s="104">
        <f t="shared" si="10"/>
        <v>1</v>
      </c>
      <c r="M44" s="104">
        <f t="shared" si="10"/>
        <v>1</v>
      </c>
      <c r="N44" s="104">
        <f t="shared" si="10"/>
        <v>1</v>
      </c>
      <c r="O44" s="104">
        <f t="shared" si="10"/>
        <v>0.998</v>
      </c>
      <c r="P44" s="104">
        <f t="shared" si="10"/>
        <v>0.996004</v>
      </c>
      <c r="Q44" s="104">
        <f t="shared" si="10"/>
        <v>0.99401199200000001</v>
      </c>
      <c r="R44" s="104">
        <f t="shared" si="10"/>
        <v>0.99202396801600001</v>
      </c>
      <c r="S44" s="104">
        <f t="shared" si="10"/>
        <v>0.99003992007996799</v>
      </c>
      <c r="T44" s="104">
        <f t="shared" si="10"/>
        <v>0.98805984023980808</v>
      </c>
      <c r="U44" s="104">
        <f t="shared" si="10"/>
        <v>0.98608372055932847</v>
      </c>
      <c r="V44" s="104">
        <f t="shared" si="10"/>
        <v>0.98411155311820986</v>
      </c>
      <c r="W44" s="104">
        <f t="shared" si="10"/>
        <v>0.9821433300119734</v>
      </c>
      <c r="X44" s="104">
        <f t="shared" si="10"/>
        <v>0.9801790433519495</v>
      </c>
      <c r="Y44" s="104">
        <f t="shared" si="10"/>
        <v>0.97821868526524558</v>
      </c>
      <c r="Z44" s="104">
        <f t="shared" si="10"/>
        <v>0.97626224789471516</v>
      </c>
      <c r="AA44" s="104">
        <f t="shared" si="10"/>
        <v>0.97430972339892563</v>
      </c>
      <c r="AB44" s="104">
        <f t="shared" si="10"/>
        <v>0.97236110395212783</v>
      </c>
      <c r="AC44" s="104">
        <f t="shared" si="10"/>
        <v>0.97041638174422362</v>
      </c>
      <c r="AD44" s="104">
        <f t="shared" si="10"/>
        <v>0.96847554898073518</v>
      </c>
      <c r="AE44" s="104">
        <f t="shared" si="10"/>
        <v>0.96653859788277374</v>
      </c>
      <c r="AF44" s="104">
        <f t="shared" si="10"/>
        <v>0.96460552068700811</v>
      </c>
      <c r="AG44" s="104">
        <f t="shared" si="10"/>
        <v>0.96267630964563411</v>
      </c>
    </row>
    <row r="45" spans="2:33" ht="14.25" customHeight="1">
      <c r="E45" s="11" t="s">
        <v>637</v>
      </c>
      <c r="F45" s="7" t="s">
        <v>522</v>
      </c>
      <c r="I45" s="103">
        <f>SUM(K45:AG45)</f>
        <v>1019.2689531361021</v>
      </c>
      <c r="K45" s="36">
        <f t="shared" ref="K45:AG45" si="11">IFERROR($G$39/K44,0)*K11</f>
        <v>0</v>
      </c>
      <c r="L45" s="36">
        <f t="shared" si="11"/>
        <v>0</v>
      </c>
      <c r="M45" s="36">
        <f t="shared" si="11"/>
        <v>0</v>
      </c>
      <c r="N45" s="36">
        <f t="shared" si="11"/>
        <v>50</v>
      </c>
      <c r="O45" s="36">
        <f t="shared" si="11"/>
        <v>50.100200400801604</v>
      </c>
      <c r="P45" s="36">
        <f t="shared" si="11"/>
        <v>50.20060160400962</v>
      </c>
      <c r="Q45" s="36">
        <f t="shared" si="11"/>
        <v>50.301204012033686</v>
      </c>
      <c r="R45" s="36">
        <f t="shared" si="11"/>
        <v>50.402008028089867</v>
      </c>
      <c r="S45" s="36">
        <f t="shared" si="11"/>
        <v>50.503014056202275</v>
      </c>
      <c r="T45" s="36">
        <f t="shared" si="11"/>
        <v>50.604222501204681</v>
      </c>
      <c r="U45" s="36">
        <f t="shared" si="11"/>
        <v>50.705633768742167</v>
      </c>
      <c r="V45" s="36">
        <f t="shared" si="11"/>
        <v>50.807248265272712</v>
      </c>
      <c r="W45" s="36">
        <f t="shared" si="11"/>
        <v>50.909066398068852</v>
      </c>
      <c r="X45" s="36">
        <f t="shared" si="11"/>
        <v>51.011088575219283</v>
      </c>
      <c r="Y45" s="36">
        <f t="shared" si="11"/>
        <v>51.113315205630549</v>
      </c>
      <c r="Z45" s="36">
        <f t="shared" si="11"/>
        <v>51.2157466990286</v>
      </c>
      <c r="AA45" s="36">
        <f t="shared" si="11"/>
        <v>51.31838346596053</v>
      </c>
      <c r="AB45" s="36">
        <f t="shared" si="11"/>
        <v>51.421225917796114</v>
      </c>
      <c r="AC45" s="36">
        <f t="shared" si="11"/>
        <v>51.524274466729572</v>
      </c>
      <c r="AD45" s="36">
        <f t="shared" si="11"/>
        <v>51.627529525781135</v>
      </c>
      <c r="AE45" s="36">
        <f t="shared" si="11"/>
        <v>51.730991508798731</v>
      </c>
      <c r="AF45" s="36">
        <f t="shared" si="11"/>
        <v>51.834660830459654</v>
      </c>
      <c r="AG45" s="36">
        <f t="shared" si="11"/>
        <v>51.938537906272202</v>
      </c>
    </row>
    <row r="46" spans="2:33" ht="14.25" customHeight="1">
      <c r="E46" s="25" t="s">
        <v>638</v>
      </c>
      <c r="F46" s="7" t="s">
        <v>522</v>
      </c>
      <c r="I46" s="105">
        <f>SUM(K46:AG46)</f>
        <v>2300</v>
      </c>
      <c r="K46" s="36">
        <f t="shared" ref="K46:AG46" si="12">$G$40*K11</f>
        <v>0</v>
      </c>
      <c r="L46" s="36">
        <f t="shared" si="12"/>
        <v>0</v>
      </c>
      <c r="M46" s="36">
        <f t="shared" si="12"/>
        <v>0</v>
      </c>
      <c r="N46" s="36">
        <f t="shared" si="12"/>
        <v>115</v>
      </c>
      <c r="O46" s="36">
        <f t="shared" si="12"/>
        <v>115</v>
      </c>
      <c r="P46" s="36">
        <f t="shared" si="12"/>
        <v>115</v>
      </c>
      <c r="Q46" s="36">
        <f t="shared" si="12"/>
        <v>115</v>
      </c>
      <c r="R46" s="36">
        <f t="shared" si="12"/>
        <v>115</v>
      </c>
      <c r="S46" s="36">
        <f t="shared" si="12"/>
        <v>115</v>
      </c>
      <c r="T46" s="36">
        <f t="shared" si="12"/>
        <v>115</v>
      </c>
      <c r="U46" s="36">
        <f t="shared" si="12"/>
        <v>115</v>
      </c>
      <c r="V46" s="36">
        <f t="shared" si="12"/>
        <v>115</v>
      </c>
      <c r="W46" s="36">
        <f t="shared" si="12"/>
        <v>115</v>
      </c>
      <c r="X46" s="36">
        <f t="shared" si="12"/>
        <v>115</v>
      </c>
      <c r="Y46" s="36">
        <f t="shared" si="12"/>
        <v>115</v>
      </c>
      <c r="Z46" s="36">
        <f t="shared" si="12"/>
        <v>115</v>
      </c>
      <c r="AA46" s="36">
        <f t="shared" si="12"/>
        <v>115</v>
      </c>
      <c r="AB46" s="36">
        <f t="shared" si="12"/>
        <v>115</v>
      </c>
      <c r="AC46" s="36">
        <f t="shared" si="12"/>
        <v>115</v>
      </c>
      <c r="AD46" s="36">
        <f t="shared" si="12"/>
        <v>115</v>
      </c>
      <c r="AE46" s="36">
        <f t="shared" si="12"/>
        <v>115</v>
      </c>
      <c r="AF46" s="36">
        <f t="shared" si="12"/>
        <v>115</v>
      </c>
      <c r="AG46" s="36">
        <f t="shared" si="12"/>
        <v>115</v>
      </c>
    </row>
    <row r="47" spans="2:33" ht="14.25" customHeight="1">
      <c r="E47" s="112" t="s">
        <v>639</v>
      </c>
      <c r="F47" s="107" t="s">
        <v>522</v>
      </c>
      <c r="G47" s="108"/>
      <c r="H47" s="108"/>
      <c r="I47" s="109">
        <f>SUM(K47:AG47)</f>
        <v>2842.3339414671236</v>
      </c>
      <c r="J47" s="108"/>
      <c r="K47" s="110">
        <f t="shared" ref="K47:AG47" si="13">MAX(K43+K45-K46,0)</f>
        <v>0</v>
      </c>
      <c r="L47" s="110">
        <f t="shared" si="13"/>
        <v>0</v>
      </c>
      <c r="M47" s="110">
        <f t="shared" si="13"/>
        <v>0</v>
      </c>
      <c r="N47" s="110">
        <f t="shared" si="13"/>
        <v>135.31057276001832</v>
      </c>
      <c r="O47" s="110">
        <f t="shared" si="13"/>
        <v>136.01472463647826</v>
      </c>
      <c r="P47" s="110">
        <f t="shared" si="13"/>
        <v>136.7208982745677</v>
      </c>
      <c r="Q47" s="110">
        <f t="shared" si="13"/>
        <v>137.42909956702565</v>
      </c>
      <c r="R47" s="110">
        <f t="shared" si="13"/>
        <v>138.13933442395114</v>
      </c>
      <c r="S47" s="110">
        <f t="shared" si="13"/>
        <v>138.85160877285506</v>
      </c>
      <c r="T47" s="110">
        <f t="shared" si="13"/>
        <v>139.56592855871168</v>
      </c>
      <c r="U47" s="110">
        <f t="shared" si="13"/>
        <v>140.28229974401054</v>
      </c>
      <c r="V47" s="110">
        <f t="shared" si="13"/>
        <v>141.00072830880822</v>
      </c>
      <c r="W47" s="110">
        <f t="shared" si="13"/>
        <v>141.72122025078085</v>
      </c>
      <c r="X47" s="110">
        <f t="shared" si="13"/>
        <v>142.44378158527616</v>
      </c>
      <c r="Y47" s="110">
        <f t="shared" si="13"/>
        <v>143.16841834536598</v>
      </c>
      <c r="Z47" s="110">
        <f t="shared" si="13"/>
        <v>143.8951365818989</v>
      </c>
      <c r="AA47" s="110">
        <f t="shared" si="13"/>
        <v>144.623942363553</v>
      </c>
      <c r="AB47" s="110">
        <f t="shared" si="13"/>
        <v>145.35484177688892</v>
      </c>
      <c r="AC47" s="110">
        <f t="shared" si="13"/>
        <v>146.08784092640258</v>
      </c>
      <c r="AD47" s="110">
        <f t="shared" si="13"/>
        <v>146.82294593457874</v>
      </c>
      <c r="AE47" s="110">
        <f t="shared" si="13"/>
        <v>147.5601629419445</v>
      </c>
      <c r="AF47" s="110">
        <f t="shared" si="13"/>
        <v>148.29949810712242</v>
      </c>
      <c r="AG47" s="110">
        <f t="shared" si="13"/>
        <v>149.04095760688472</v>
      </c>
    </row>
    <row r="49" spans="2:33" ht="14.25" customHeight="1">
      <c r="B49" s="40"/>
      <c r="C49" s="14" t="s">
        <v>640</v>
      </c>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row>
    <row r="51" spans="2:33" ht="14.25" customHeight="1">
      <c r="E51" s="25" t="s">
        <v>176</v>
      </c>
      <c r="F51" s="7" t="s">
        <v>115</v>
      </c>
      <c r="G51" s="242">
        <f>Inputs!$I$90</f>
        <v>0.9</v>
      </c>
    </row>
    <row r="52" spans="2:33" ht="14.25" customHeight="1">
      <c r="E52" s="25" t="s">
        <v>641</v>
      </c>
      <c r="F52" s="7" t="s">
        <v>522</v>
      </c>
      <c r="I52" s="103">
        <f>SUM(K52:AG52)</f>
        <v>42222.222222222204</v>
      </c>
      <c r="K52" s="36">
        <f t="shared" ref="K52:AG52" si="14">IFERROR(K23/$G$51,0)</f>
        <v>0</v>
      </c>
      <c r="L52" s="36">
        <f t="shared" si="14"/>
        <v>0</v>
      </c>
      <c r="M52" s="36">
        <f t="shared" si="14"/>
        <v>0</v>
      </c>
      <c r="N52" s="36">
        <f t="shared" si="14"/>
        <v>2111.1111111111109</v>
      </c>
      <c r="O52" s="36">
        <f t="shared" si="14"/>
        <v>2111.1111111111109</v>
      </c>
      <c r="P52" s="36">
        <f t="shared" si="14"/>
        <v>2111.1111111111109</v>
      </c>
      <c r="Q52" s="36">
        <f t="shared" si="14"/>
        <v>2111.1111111111109</v>
      </c>
      <c r="R52" s="36">
        <f t="shared" si="14"/>
        <v>2111.1111111111109</v>
      </c>
      <c r="S52" s="36">
        <f t="shared" si="14"/>
        <v>2111.1111111111109</v>
      </c>
      <c r="T52" s="36">
        <f t="shared" si="14"/>
        <v>2111.1111111111109</v>
      </c>
      <c r="U52" s="36">
        <f t="shared" si="14"/>
        <v>2111.1111111111109</v>
      </c>
      <c r="V52" s="36">
        <f t="shared" si="14"/>
        <v>2111.1111111111109</v>
      </c>
      <c r="W52" s="36">
        <f t="shared" si="14"/>
        <v>2111.1111111111109</v>
      </c>
      <c r="X52" s="36">
        <f t="shared" si="14"/>
        <v>2111.1111111111109</v>
      </c>
      <c r="Y52" s="36">
        <f t="shared" si="14"/>
        <v>2111.1111111111109</v>
      </c>
      <c r="Z52" s="36">
        <f t="shared" si="14"/>
        <v>2111.1111111111109</v>
      </c>
      <c r="AA52" s="36">
        <f t="shared" si="14"/>
        <v>2111.1111111111109</v>
      </c>
      <c r="AB52" s="36">
        <f t="shared" si="14"/>
        <v>2111.1111111111109</v>
      </c>
      <c r="AC52" s="36">
        <f t="shared" si="14"/>
        <v>2111.1111111111109</v>
      </c>
      <c r="AD52" s="36">
        <f t="shared" si="14"/>
        <v>2111.1111111111109</v>
      </c>
      <c r="AE52" s="36">
        <f t="shared" si="14"/>
        <v>2111.1111111111109</v>
      </c>
      <c r="AF52" s="36">
        <f t="shared" si="14"/>
        <v>2111.1111111111109</v>
      </c>
      <c r="AG52" s="36">
        <f t="shared" si="14"/>
        <v>2111.1111111111109</v>
      </c>
    </row>
    <row r="53" spans="2:33" ht="14.25" customHeight="1">
      <c r="E53" s="25" t="s">
        <v>642</v>
      </c>
      <c r="F53" s="7" t="s">
        <v>522</v>
      </c>
      <c r="I53" s="105">
        <f>SUM(K53:AG53)</f>
        <v>6390.0731245012312</v>
      </c>
      <c r="K53" s="36">
        <f t="shared" ref="K53:AG53" si="15">IFERROR(K27/$G$51,0)</f>
        <v>0</v>
      </c>
      <c r="L53" s="36">
        <f t="shared" si="15"/>
        <v>0</v>
      </c>
      <c r="M53" s="36">
        <f t="shared" si="15"/>
        <v>0</v>
      </c>
      <c r="N53" s="36">
        <f t="shared" si="15"/>
        <v>285.2245985777775</v>
      </c>
      <c r="O53" s="36">
        <f t="shared" si="15"/>
        <v>288.87637160284407</v>
      </c>
      <c r="P53" s="36">
        <f t="shared" si="15"/>
        <v>292.52084108186079</v>
      </c>
      <c r="Q53" s="36">
        <f t="shared" si="15"/>
        <v>296.15802162191915</v>
      </c>
      <c r="R53" s="36">
        <f t="shared" si="15"/>
        <v>299.78792780089759</v>
      </c>
      <c r="S53" s="36">
        <f t="shared" si="15"/>
        <v>303.41057416751812</v>
      </c>
      <c r="T53" s="36">
        <f t="shared" si="15"/>
        <v>307.02597524140526</v>
      </c>
      <c r="U53" s="36">
        <f t="shared" si="15"/>
        <v>310.63414551314457</v>
      </c>
      <c r="V53" s="36">
        <f t="shared" si="15"/>
        <v>314.23509944434045</v>
      </c>
      <c r="W53" s="36">
        <f t="shared" si="15"/>
        <v>317.8288514676741</v>
      </c>
      <c r="X53" s="36">
        <f t="shared" si="15"/>
        <v>321.41541598696097</v>
      </c>
      <c r="Y53" s="36">
        <f t="shared" si="15"/>
        <v>324.9948073772091</v>
      </c>
      <c r="Z53" s="36">
        <f t="shared" si="15"/>
        <v>328.56703998467691</v>
      </c>
      <c r="AA53" s="36">
        <f t="shared" si="15"/>
        <v>332.13212812692996</v>
      </c>
      <c r="AB53" s="36">
        <f t="shared" si="15"/>
        <v>335.69008609289818</v>
      </c>
      <c r="AC53" s="36">
        <f t="shared" si="15"/>
        <v>339.24092814293442</v>
      </c>
      <c r="AD53" s="36">
        <f t="shared" si="15"/>
        <v>342.78466850887094</v>
      </c>
      <c r="AE53" s="36">
        <f t="shared" si="15"/>
        <v>346.32132139407531</v>
      </c>
      <c r="AF53" s="36">
        <f t="shared" si="15"/>
        <v>349.85090097350951</v>
      </c>
      <c r="AG53" s="36">
        <f t="shared" si="15"/>
        <v>353.37342139378455</v>
      </c>
    </row>
    <row r="54" spans="2:33" ht="14.25" customHeight="1">
      <c r="E54" s="112" t="s">
        <v>643</v>
      </c>
      <c r="F54" s="107" t="s">
        <v>522</v>
      </c>
      <c r="G54" s="108"/>
      <c r="H54" s="108"/>
      <c r="I54" s="109">
        <f>SUM(K54:AG54)</f>
        <v>21499.289458632589</v>
      </c>
      <c r="J54" s="108"/>
      <c r="K54" s="110">
        <f t="shared" ref="K54:AG54" si="16">IFERROR(K26*(1-$G$58)/$G$51,0)</f>
        <v>0</v>
      </c>
      <c r="L54" s="110">
        <f t="shared" si="16"/>
        <v>0</v>
      </c>
      <c r="M54" s="110">
        <f t="shared" si="16"/>
        <v>0</v>
      </c>
      <c r="N54" s="110">
        <f t="shared" si="16"/>
        <v>1095.5319075200002</v>
      </c>
      <c r="O54" s="110">
        <f t="shared" si="16"/>
        <v>1093.3408437049602</v>
      </c>
      <c r="P54" s="110">
        <f t="shared" si="16"/>
        <v>1091.1541620175501</v>
      </c>
      <c r="Q54" s="110">
        <f t="shared" si="16"/>
        <v>1088.9718536935152</v>
      </c>
      <c r="R54" s="110">
        <f t="shared" si="16"/>
        <v>1086.793909986128</v>
      </c>
      <c r="S54" s="110">
        <f t="shared" si="16"/>
        <v>1084.6203221661558</v>
      </c>
      <c r="T54" s="110">
        <f t="shared" si="16"/>
        <v>1082.4510815218234</v>
      </c>
      <c r="U54" s="110">
        <f t="shared" si="16"/>
        <v>1080.2861793587799</v>
      </c>
      <c r="V54" s="110">
        <f t="shared" si="16"/>
        <v>1078.1256070000625</v>
      </c>
      <c r="W54" s="110">
        <f t="shared" si="16"/>
        <v>1075.9693557860621</v>
      </c>
      <c r="X54" s="110">
        <f t="shared" si="16"/>
        <v>1073.8174170744901</v>
      </c>
      <c r="Y54" s="110">
        <f t="shared" si="16"/>
        <v>1071.669782240341</v>
      </c>
      <c r="Z54" s="110">
        <f t="shared" si="16"/>
        <v>1069.5264426758604</v>
      </c>
      <c r="AA54" s="110">
        <f t="shared" si="16"/>
        <v>1067.3873897905087</v>
      </c>
      <c r="AB54" s="110">
        <f t="shared" si="16"/>
        <v>1065.2526150109277</v>
      </c>
      <c r="AC54" s="110">
        <f t="shared" si="16"/>
        <v>1063.1221097809059</v>
      </c>
      <c r="AD54" s="110">
        <f t="shared" si="16"/>
        <v>1060.9958655613441</v>
      </c>
      <c r="AE54" s="110">
        <f t="shared" si="16"/>
        <v>1058.8738738302213</v>
      </c>
      <c r="AF54" s="110">
        <f t="shared" si="16"/>
        <v>1056.7561260825607</v>
      </c>
      <c r="AG54" s="110">
        <f t="shared" si="16"/>
        <v>1054.6426138303957</v>
      </c>
    </row>
    <row r="56" spans="2:33" ht="14.25" customHeight="1">
      <c r="B56" s="40"/>
      <c r="C56" s="14" t="s">
        <v>644</v>
      </c>
      <c r="D56" s="40"/>
      <c r="E56" s="40"/>
      <c r="F56" s="40"/>
      <c r="G56" s="40"/>
      <c r="H56" s="99" cm="1">
        <f t="array" ref="H56">IF(SUMPRODUCT(ABS(K66:AG66-(K63:AG63+K64:AG64+K65:AG65+K33:AG33)))&lt;0.01,0,1)</f>
        <v>0</v>
      </c>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row>
    <row r="58" spans="2:33" ht="14.25" customHeight="1">
      <c r="E58" s="25" t="s">
        <v>645</v>
      </c>
      <c r="F58" s="7" t="s">
        <v>115</v>
      </c>
      <c r="G58" s="243">
        <f>Inputs!$I$167</f>
        <v>0.4</v>
      </c>
    </row>
    <row r="59" spans="2:33" ht="14.25" customHeight="1">
      <c r="E59" s="25" t="s">
        <v>646</v>
      </c>
      <c r="F59" s="7" t="s">
        <v>270</v>
      </c>
      <c r="G59" s="240">
        <f>Inputs!$I$96</f>
        <v>75</v>
      </c>
    </row>
    <row r="60" spans="2:33" ht="14.25" customHeight="1">
      <c r="E60" s="25" t="s">
        <v>647</v>
      </c>
      <c r="F60" s="7" t="s">
        <v>270</v>
      </c>
      <c r="G60" s="240">
        <f>Inputs!$I$97</f>
        <v>90</v>
      </c>
    </row>
    <row r="61" spans="2:33" ht="14.25" customHeight="1">
      <c r="E61" s="25" t="s">
        <v>186</v>
      </c>
      <c r="F61" s="7" t="s">
        <v>648</v>
      </c>
      <c r="G61" s="244">
        <f>Inputs!$I$98</f>
        <v>8000</v>
      </c>
    </row>
    <row r="62" spans="2:33" ht="14.25" customHeight="1">
      <c r="E62" s="25" t="s">
        <v>649</v>
      </c>
      <c r="F62" s="7" t="s">
        <v>522</v>
      </c>
      <c r="I62" s="113">
        <f>SUM(K62:AG62)</f>
        <v>12899.573675179559</v>
      </c>
      <c r="K62" s="36">
        <f t="shared" ref="K62:AG62" si="17">K26*$G$58</f>
        <v>0</v>
      </c>
      <c r="L62" s="36">
        <f t="shared" si="17"/>
        <v>0</v>
      </c>
      <c r="M62" s="36">
        <f t="shared" si="17"/>
        <v>0</v>
      </c>
      <c r="N62" s="36">
        <f t="shared" si="17"/>
        <v>657.31914451200009</v>
      </c>
      <c r="O62" s="36">
        <f t="shared" si="17"/>
        <v>656.00450622297615</v>
      </c>
      <c r="P62" s="36">
        <f t="shared" si="17"/>
        <v>654.69249721053018</v>
      </c>
      <c r="Q62" s="36">
        <f t="shared" si="17"/>
        <v>653.38311221610911</v>
      </c>
      <c r="R62" s="36">
        <f t="shared" si="17"/>
        <v>652.07634599167693</v>
      </c>
      <c r="S62" s="36">
        <f t="shared" si="17"/>
        <v>650.77219329969353</v>
      </c>
      <c r="T62" s="36">
        <f t="shared" si="17"/>
        <v>649.47064891309412</v>
      </c>
      <c r="U62" s="36">
        <f t="shared" si="17"/>
        <v>648.17170761526802</v>
      </c>
      <c r="V62" s="36">
        <f t="shared" si="17"/>
        <v>646.87536420003744</v>
      </c>
      <c r="W62" s="36">
        <f t="shared" si="17"/>
        <v>645.58161347163741</v>
      </c>
      <c r="X62" s="36">
        <f t="shared" si="17"/>
        <v>644.29045024469406</v>
      </c>
      <c r="Y62" s="36">
        <f t="shared" si="17"/>
        <v>643.00186934420481</v>
      </c>
      <c r="Z62" s="36">
        <f t="shared" si="17"/>
        <v>641.71586560551634</v>
      </c>
      <c r="AA62" s="36">
        <f t="shared" si="17"/>
        <v>640.43243387430527</v>
      </c>
      <c r="AB62" s="36">
        <f t="shared" si="17"/>
        <v>639.15156900655666</v>
      </c>
      <c r="AC62" s="36">
        <f t="shared" si="17"/>
        <v>637.87326586854363</v>
      </c>
      <c r="AD62" s="36">
        <f t="shared" si="17"/>
        <v>636.5975193368065</v>
      </c>
      <c r="AE62" s="36">
        <f t="shared" si="17"/>
        <v>635.32432429813298</v>
      </c>
      <c r="AF62" s="36">
        <f t="shared" si="17"/>
        <v>634.05367564953667</v>
      </c>
      <c r="AG62" s="36">
        <f t="shared" si="17"/>
        <v>632.78556829823765</v>
      </c>
    </row>
    <row r="63" spans="2:33" ht="14.25" customHeight="1">
      <c r="E63" s="25" t="s">
        <v>650</v>
      </c>
      <c r="F63" s="7" t="str">
        <f>Inputs!$D$7</f>
        <v>HUF</v>
      </c>
      <c r="I63" s="113">
        <f>SUM(K63:AG63)</f>
        <v>1417561.6618103844</v>
      </c>
      <c r="K63" s="36">
        <f>K62*$G$59*Timing!O19</f>
        <v>0</v>
      </c>
      <c r="L63" s="36">
        <f>L62*$G$59*Timing!P19</f>
        <v>0</v>
      </c>
      <c r="M63" s="36">
        <f>M62*$G$59*Timing!Q19</f>
        <v>0</v>
      </c>
      <c r="N63" s="36">
        <f>N62*$G$59*Timing!R19</f>
        <v>53870.278261887324</v>
      </c>
      <c r="O63" s="36">
        <f>O62*$G$59*Timing!S19</f>
        <v>55375.413836524451</v>
      </c>
      <c r="P63" s="36">
        <f>P62*$G$59*Timing!T19</f>
        <v>56922.602899116944</v>
      </c>
      <c r="Q63" s="36">
        <f>Q62*$G$59*Timing!U19</f>
        <v>58513.020424118273</v>
      </c>
      <c r="R63" s="36">
        <f>R62*$G$59*Timing!V19</f>
        <v>60147.874214768141</v>
      </c>
      <c r="S63" s="36">
        <f>S62*$G$59*Timing!W19</f>
        <v>61828.405820328757</v>
      </c>
      <c r="T63" s="36">
        <f>T62*$G$59*Timing!X19</f>
        <v>63555.891478948739</v>
      </c>
      <c r="U63" s="36">
        <f>U62*$G$59*Timing!Y19</f>
        <v>65331.643086870579</v>
      </c>
      <c r="V63" s="36">
        <f>V62*$G$59*Timing!Z19</f>
        <v>67157.009194717743</v>
      </c>
      <c r="W63" s="36">
        <f>W62*$G$59*Timing!AA19</f>
        <v>69033.376031618158</v>
      </c>
      <c r="X63" s="36">
        <f>X62*$G$59*Timing!AB19</f>
        <v>70962.16855794155</v>
      </c>
      <c r="Y63" s="36">
        <f>Y62*$G$59*Timing!AC19</f>
        <v>72944.851547450453</v>
      </c>
      <c r="Z63" s="36">
        <f>Z62*$G$59*Timing!AD19</f>
        <v>74982.930699686214</v>
      </c>
      <c r="AA63" s="36">
        <f>AA62*$G$59*Timing!AE19</f>
        <v>77077.953783435441</v>
      </c>
      <c r="AB63" s="36">
        <f>AB62*$G$59*Timing!AF19</f>
        <v>79231.511812144614</v>
      </c>
      <c r="AC63" s="36">
        <f>AC62*$G$59*Timing!AG19</f>
        <v>81445.24025217595</v>
      </c>
      <c r="AD63" s="36">
        <f>AD62*$G$59*Timing!AH19</f>
        <v>83720.820264821756</v>
      </c>
      <c r="AE63" s="36">
        <f>AE62*$G$59*Timing!AI19</f>
        <v>86059.979983020865</v>
      </c>
      <c r="AF63" s="36">
        <f>AF62*$G$59*Timing!AJ19</f>
        <v>88464.49582374646</v>
      </c>
      <c r="AG63" s="36">
        <f>AG62*$G$59*Timing!AK19</f>
        <v>90936.193837061946</v>
      </c>
    </row>
    <row r="64" spans="2:33" ht="14.25" customHeight="1">
      <c r="E64" s="25" t="s">
        <v>651</v>
      </c>
      <c r="F64" s="7" t="str">
        <f>Inputs!$D$7</f>
        <v>HUF</v>
      </c>
      <c r="I64" s="113">
        <f>SUM(K64:AG64)</f>
        <v>0</v>
      </c>
      <c r="K64" s="36">
        <f>K126*$G$60*Timing!O19</f>
        <v>0</v>
      </c>
      <c r="L64" s="36">
        <f>L126*$G$60*Timing!P19</f>
        <v>0</v>
      </c>
      <c r="M64" s="36">
        <f>M126*$G$60*Timing!Q19</f>
        <v>0</v>
      </c>
      <c r="N64" s="36">
        <f>N126*$G$60*Timing!R19</f>
        <v>0</v>
      </c>
      <c r="O64" s="36">
        <f>O126*$G$60*Timing!S19</f>
        <v>0</v>
      </c>
      <c r="P64" s="36">
        <f>P126*$G$60*Timing!T19</f>
        <v>0</v>
      </c>
      <c r="Q64" s="36">
        <f>Q126*$G$60*Timing!U19</f>
        <v>0</v>
      </c>
      <c r="R64" s="36">
        <f>R126*$G$60*Timing!V19</f>
        <v>0</v>
      </c>
      <c r="S64" s="36">
        <f>S126*$G$60*Timing!W19</f>
        <v>0</v>
      </c>
      <c r="T64" s="36">
        <f>T126*$G$60*Timing!X19</f>
        <v>0</v>
      </c>
      <c r="U64" s="36">
        <f>U126*$G$60*Timing!Y19</f>
        <v>0</v>
      </c>
      <c r="V64" s="36">
        <f>V126*$G$60*Timing!Z19</f>
        <v>0</v>
      </c>
      <c r="W64" s="36">
        <f>W126*$G$60*Timing!AA19</f>
        <v>0</v>
      </c>
      <c r="X64" s="36">
        <f>X126*$G$60*Timing!AB19</f>
        <v>0</v>
      </c>
      <c r="Y64" s="36">
        <f>Y126*$G$60*Timing!AC19</f>
        <v>0</v>
      </c>
      <c r="Z64" s="36">
        <f>Z126*$G$60*Timing!AD19</f>
        <v>0</v>
      </c>
      <c r="AA64" s="36">
        <f>AA126*$G$60*Timing!AE19</f>
        <v>0</v>
      </c>
      <c r="AB64" s="36">
        <f>AB126*$G$60*Timing!AF19</f>
        <v>0</v>
      </c>
      <c r="AC64" s="36">
        <f>AC126*$G$60*Timing!AG19</f>
        <v>0</v>
      </c>
      <c r="AD64" s="36">
        <f>AD126*$G$60*Timing!AH19</f>
        <v>0</v>
      </c>
      <c r="AE64" s="36">
        <f>AE126*$G$60*Timing!AI19</f>
        <v>0</v>
      </c>
      <c r="AF64" s="36">
        <f>AF126*$G$60*Timing!AJ19</f>
        <v>0</v>
      </c>
      <c r="AG64" s="36">
        <f>AG126*$G$60*Timing!AK19</f>
        <v>0</v>
      </c>
    </row>
    <row r="65" spans="2:33" ht="14.25" customHeight="1">
      <c r="E65" s="25" t="s">
        <v>186</v>
      </c>
      <c r="F65" s="7" t="str">
        <f>Inputs!$D$7</f>
        <v>HUF</v>
      </c>
      <c r="I65" s="114">
        <f>SUM(K65:AG65)</f>
        <v>206276.505676559</v>
      </c>
      <c r="K65" s="36">
        <f>$G$61*Timing!O18*K11</f>
        <v>0</v>
      </c>
      <c r="L65" s="36">
        <f>$G$61*Timing!P18*L11</f>
        <v>0</v>
      </c>
      <c r="M65" s="36">
        <f>$G$61*Timing!Q18*M11</f>
        <v>0</v>
      </c>
      <c r="N65" s="36">
        <f>$G$61*Timing!R18*N11</f>
        <v>8489.6639999999989</v>
      </c>
      <c r="O65" s="36">
        <f>$G$61*Timing!S18*O11</f>
        <v>8659.4572800000005</v>
      </c>
      <c r="P65" s="36">
        <f>$G$61*Timing!T18*P11</f>
        <v>8832.6464255999999</v>
      </c>
      <c r="Q65" s="36">
        <f>$G$61*Timing!U18*Q11</f>
        <v>9009.2993541120013</v>
      </c>
      <c r="R65" s="36">
        <f>$G$61*Timing!V18*R11</f>
        <v>9189.4853411942386</v>
      </c>
      <c r="S65" s="36">
        <f>$G$61*Timing!W18*S11</f>
        <v>9373.2750480181239</v>
      </c>
      <c r="T65" s="36">
        <f>$G$61*Timing!X18*T11</f>
        <v>9560.7405489784869</v>
      </c>
      <c r="U65" s="36">
        <f>$G$61*Timing!Y18*U11</f>
        <v>9751.9553599580577</v>
      </c>
      <c r="V65" s="36">
        <f>$G$61*Timing!Z18*V11</f>
        <v>9946.9944671572157</v>
      </c>
      <c r="W65" s="36">
        <f>$G$61*Timing!AA18*W11</f>
        <v>10145.934356500362</v>
      </c>
      <c r="X65" s="36">
        <f>$G$61*Timing!AB18*X11</f>
        <v>10348.853043630368</v>
      </c>
      <c r="Y65" s="36">
        <f>$G$61*Timing!AC18*Y11</f>
        <v>10555.830104502977</v>
      </c>
      <c r="Z65" s="36">
        <f>$G$61*Timing!AD18*Z11</f>
        <v>10766.946706593033</v>
      </c>
      <c r="AA65" s="36">
        <f>$G$61*Timing!AE18*AA11</f>
        <v>10982.285640724896</v>
      </c>
      <c r="AB65" s="36">
        <f>$G$61*Timing!AF18*AB11</f>
        <v>11201.931353539396</v>
      </c>
      <c r="AC65" s="36">
        <f>$G$61*Timing!AG18*AC11</f>
        <v>11425.969980610182</v>
      </c>
      <c r="AD65" s="36">
        <f>$G$61*Timing!AH18*AD11</f>
        <v>11654.489380222385</v>
      </c>
      <c r="AE65" s="36">
        <f>$G$61*Timing!AI18*AE11</f>
        <v>11887.579167826834</v>
      </c>
      <c r="AF65" s="36">
        <f>$G$61*Timing!AJ18*AF11</f>
        <v>12125.33075118337</v>
      </c>
      <c r="AG65" s="36">
        <f>$G$61*Timing!AK18*AG11</f>
        <v>12367.837366207037</v>
      </c>
    </row>
    <row r="66" spans="2:33" ht="14.25" customHeight="1">
      <c r="E66" s="112" t="s">
        <v>652</v>
      </c>
      <c r="F66" s="107" t="str">
        <f>Inputs!$D$7</f>
        <v>HUF</v>
      </c>
      <c r="G66" s="108"/>
      <c r="H66" s="108"/>
      <c r="I66" s="109">
        <f>SUM(K66:AG66)</f>
        <v>1623838.1674869433</v>
      </c>
      <c r="J66" s="108"/>
      <c r="K66" s="110">
        <f>K63+K64+K65+K33</f>
        <v>0</v>
      </c>
      <c r="L66" s="110">
        <f t="shared" ref="L66:AG66" si="18">L63+L64+L65+L33</f>
        <v>0</v>
      </c>
      <c r="M66" s="110">
        <f t="shared" si="18"/>
        <v>0</v>
      </c>
      <c r="N66" s="110">
        <f t="shared" si="18"/>
        <v>62359.942261887321</v>
      </c>
      <c r="O66" s="110">
        <f t="shared" si="18"/>
        <v>64034.871116524453</v>
      </c>
      <c r="P66" s="110">
        <f t="shared" si="18"/>
        <v>65755.249324716948</v>
      </c>
      <c r="Q66" s="110">
        <f t="shared" si="18"/>
        <v>67522.319778230274</v>
      </c>
      <c r="R66" s="110">
        <f t="shared" si="18"/>
        <v>69337.359555962379</v>
      </c>
      <c r="S66" s="110">
        <f t="shared" si="18"/>
        <v>71201.680868346884</v>
      </c>
      <c r="T66" s="110">
        <f t="shared" si="18"/>
        <v>73116.632027927233</v>
      </c>
      <c r="U66" s="110">
        <f t="shared" si="18"/>
        <v>75083.598446828633</v>
      </c>
      <c r="V66" s="110">
        <f t="shared" si="18"/>
        <v>77104.003661874958</v>
      </c>
      <c r="W66" s="110">
        <f t="shared" si="18"/>
        <v>79179.310388118523</v>
      </c>
      <c r="X66" s="110">
        <f t="shared" si="18"/>
        <v>81311.02160157192</v>
      </c>
      <c r="Y66" s="110">
        <f t="shared" si="18"/>
        <v>83500.681651953433</v>
      </c>
      <c r="Z66" s="110">
        <f t="shared" si="18"/>
        <v>85749.877406279251</v>
      </c>
      <c r="AA66" s="110">
        <f t="shared" si="18"/>
        <v>88060.239424160332</v>
      </c>
      <c r="AB66" s="110">
        <f t="shared" si="18"/>
        <v>90433.443165684002</v>
      </c>
      <c r="AC66" s="110">
        <f t="shared" si="18"/>
        <v>92871.210232786136</v>
      </c>
      <c r="AD66" s="110">
        <f t="shared" si="18"/>
        <v>95375.309645044137</v>
      </c>
      <c r="AE66" s="110">
        <f t="shared" si="18"/>
        <v>97947.559150847694</v>
      </c>
      <c r="AF66" s="110">
        <f t="shared" si="18"/>
        <v>100589.82657492983</v>
      </c>
      <c r="AG66" s="110">
        <f t="shared" si="18"/>
        <v>103304.03120326898</v>
      </c>
    </row>
    <row r="67" spans="2:33" ht="14.25" customHeight="1">
      <c r="E67" s="25"/>
      <c r="F67" s="7"/>
      <c r="G67" s="115"/>
      <c r="K67" s="85"/>
      <c r="L67" s="85"/>
      <c r="M67" s="85"/>
      <c r="N67" s="85"/>
      <c r="O67" s="85"/>
      <c r="P67" s="85"/>
      <c r="Q67" s="85"/>
      <c r="R67" s="85"/>
      <c r="S67" s="85"/>
      <c r="T67" s="85"/>
      <c r="U67" s="85"/>
      <c r="V67" s="85"/>
      <c r="W67" s="85"/>
      <c r="X67" s="85"/>
      <c r="Y67" s="85"/>
      <c r="Z67" s="85"/>
      <c r="AA67" s="85"/>
      <c r="AB67" s="85"/>
      <c r="AC67" s="85"/>
      <c r="AD67" s="85"/>
      <c r="AE67" s="85"/>
      <c r="AF67" s="85"/>
      <c r="AG67" s="85"/>
    </row>
    <row r="68" spans="2:33" ht="14.25" customHeight="1">
      <c r="B68" s="40"/>
      <c r="C68" s="14" t="s">
        <v>653</v>
      </c>
      <c r="D68" s="40"/>
      <c r="E68" s="116"/>
      <c r="F68" s="117"/>
      <c r="G68" s="118"/>
      <c r="H68" s="118"/>
      <c r="I68" s="118"/>
      <c r="J68" s="118"/>
      <c r="K68" s="118"/>
      <c r="L68" s="119"/>
      <c r="M68" s="119"/>
      <c r="N68" s="119"/>
      <c r="O68" s="119"/>
      <c r="P68" s="119"/>
      <c r="Q68" s="119"/>
      <c r="R68" s="119"/>
      <c r="S68" s="119"/>
      <c r="T68" s="119"/>
      <c r="U68" s="119"/>
      <c r="V68" s="119"/>
      <c r="W68" s="119"/>
      <c r="X68" s="119"/>
      <c r="Y68" s="119"/>
      <c r="Z68" s="119"/>
      <c r="AA68" s="119"/>
      <c r="AB68" s="119"/>
      <c r="AC68" s="119"/>
      <c r="AD68" s="119"/>
      <c r="AE68" s="119"/>
      <c r="AF68" s="119"/>
      <c r="AG68" s="119"/>
    </row>
    <row r="69" spans="2:33" ht="14.25" customHeight="1">
      <c r="E69" s="25"/>
      <c r="F69" s="7"/>
      <c r="G69" s="115"/>
      <c r="K69" s="85"/>
      <c r="L69" s="85"/>
      <c r="M69" s="85"/>
      <c r="N69" s="85"/>
      <c r="O69" s="85"/>
      <c r="P69" s="85"/>
      <c r="Q69" s="85"/>
      <c r="R69" s="85"/>
      <c r="S69" s="85"/>
      <c r="T69" s="85"/>
      <c r="U69" s="85"/>
      <c r="V69" s="85"/>
      <c r="W69" s="85"/>
      <c r="X69" s="85"/>
      <c r="Y69" s="85"/>
      <c r="Z69" s="85"/>
      <c r="AA69" s="85"/>
      <c r="AB69" s="85"/>
      <c r="AC69" s="85"/>
      <c r="AD69" s="85"/>
      <c r="AE69" s="85"/>
      <c r="AF69" s="85"/>
      <c r="AG69" s="85"/>
    </row>
    <row r="70" spans="2:33" ht="14.25" customHeight="1">
      <c r="E70" s="25" t="s">
        <v>654</v>
      </c>
      <c r="F70" s="7" t="s">
        <v>522</v>
      </c>
      <c r="I70" s="103">
        <f>SUM(K70:AG70)</f>
        <v>21499.289458632589</v>
      </c>
      <c r="K70" s="36">
        <f t="shared" ref="K70:AG70" si="19">K54</f>
        <v>0</v>
      </c>
      <c r="L70" s="36">
        <f t="shared" si="19"/>
        <v>0</v>
      </c>
      <c r="M70" s="36">
        <f t="shared" si="19"/>
        <v>0</v>
      </c>
      <c r="N70" s="36">
        <f t="shared" si="19"/>
        <v>1095.5319075200002</v>
      </c>
      <c r="O70" s="36">
        <f t="shared" si="19"/>
        <v>1093.3408437049602</v>
      </c>
      <c r="P70" s="36">
        <f t="shared" si="19"/>
        <v>1091.1541620175501</v>
      </c>
      <c r="Q70" s="36">
        <f t="shared" si="19"/>
        <v>1088.9718536935152</v>
      </c>
      <c r="R70" s="36">
        <f t="shared" si="19"/>
        <v>1086.793909986128</v>
      </c>
      <c r="S70" s="36">
        <f t="shared" si="19"/>
        <v>1084.6203221661558</v>
      </c>
      <c r="T70" s="36">
        <f t="shared" si="19"/>
        <v>1082.4510815218234</v>
      </c>
      <c r="U70" s="36">
        <f t="shared" si="19"/>
        <v>1080.2861793587799</v>
      </c>
      <c r="V70" s="36">
        <f t="shared" si="19"/>
        <v>1078.1256070000625</v>
      </c>
      <c r="W70" s="36">
        <f t="shared" si="19"/>
        <v>1075.9693557860621</v>
      </c>
      <c r="X70" s="36">
        <f t="shared" si="19"/>
        <v>1073.8174170744901</v>
      </c>
      <c r="Y70" s="36">
        <f t="shared" si="19"/>
        <v>1071.669782240341</v>
      </c>
      <c r="Z70" s="36">
        <f t="shared" si="19"/>
        <v>1069.5264426758604</v>
      </c>
      <c r="AA70" s="36">
        <f t="shared" si="19"/>
        <v>1067.3873897905087</v>
      </c>
      <c r="AB70" s="36">
        <f t="shared" si="19"/>
        <v>1065.2526150109277</v>
      </c>
      <c r="AC70" s="36">
        <f t="shared" si="19"/>
        <v>1063.1221097809059</v>
      </c>
      <c r="AD70" s="36">
        <f t="shared" si="19"/>
        <v>1060.9958655613441</v>
      </c>
      <c r="AE70" s="36">
        <f t="shared" si="19"/>
        <v>1058.8738738302213</v>
      </c>
      <c r="AF70" s="36">
        <f t="shared" si="19"/>
        <v>1056.7561260825607</v>
      </c>
      <c r="AG70" s="36">
        <f t="shared" si="19"/>
        <v>1054.6426138303957</v>
      </c>
    </row>
    <row r="71" spans="2:33" ht="14.25" customHeight="1">
      <c r="E71" s="11" t="s">
        <v>655</v>
      </c>
      <c r="F71" s="7" t="str">
        <f>Inputs!$D$7</f>
        <v>HUF</v>
      </c>
      <c r="I71" s="103">
        <f>SUM(K71:AG71)</f>
        <v>1732575.3644349144</v>
      </c>
      <c r="K71" s="115">
        <f>K70*Inputs_Dynamic!$G$24*Timing!O19</f>
        <v>0</v>
      </c>
      <c r="L71" s="115">
        <f>L70*Inputs_Dynamic!$G$24*Timing!P19</f>
        <v>0</v>
      </c>
      <c r="M71" s="115">
        <f>M70*Inputs_Dynamic!$G$24*Timing!Q19</f>
        <v>0</v>
      </c>
      <c r="N71" s="115">
        <f>N70*Inputs_Dynamic!$G$24*Timing!R19</f>
        <v>65841.451208973405</v>
      </c>
      <c r="O71" s="115">
        <f>O70*Inputs_Dynamic!$G$24*Timing!S19</f>
        <v>67681.061355752114</v>
      </c>
      <c r="P71" s="115">
        <f>P70*Inputs_Dynamic!$G$24*Timing!T19</f>
        <v>69572.070210031816</v>
      </c>
      <c r="Q71" s="115">
        <f>Q70*Inputs_Dynamic!$G$24*Timing!U19</f>
        <v>71515.913851700112</v>
      </c>
      <c r="R71" s="115">
        <f>R70*Inputs_Dynamic!$G$24*Timing!V19</f>
        <v>73514.068484716612</v>
      </c>
      <c r="S71" s="115">
        <f>S70*Inputs_Dynamic!$G$24*Timing!W19</f>
        <v>75568.051558179592</v>
      </c>
      <c r="T71" s="115">
        <f>T70*Inputs_Dynamic!$G$24*Timing!X19</f>
        <v>77679.422918715121</v>
      </c>
      <c r="U71" s="115">
        <f>U70*Inputs_Dynamic!$G$24*Timing!Y19</f>
        <v>79849.785995064027</v>
      </c>
      <c r="V71" s="115">
        <f>V70*Inputs_Dynamic!$G$24*Timing!Z19</f>
        <v>82080.789015766131</v>
      </c>
      <c r="W71" s="115">
        <f>W70*Inputs_Dynamic!$G$24*Timing!AA19</f>
        <v>84374.1262608666</v>
      </c>
      <c r="X71" s="115">
        <f>X70*Inputs_Dynamic!$G$24*Timing!AB19</f>
        <v>86731.539348595223</v>
      </c>
      <c r="Y71" s="115">
        <f>Y70*Inputs_Dynamic!$G$24*Timing!AC19</f>
        <v>89154.818557994979</v>
      </c>
      <c r="Z71" s="115">
        <f>Z70*Inputs_Dynamic!$G$24*Timing!AD19</f>
        <v>91645.804188505368</v>
      </c>
      <c r="AA71" s="115">
        <f>AA70*Inputs_Dynamic!$G$24*Timing!AE19</f>
        <v>94206.387957532192</v>
      </c>
      <c r="AB71" s="115">
        <f>AB70*Inputs_Dynamic!$G$24*Timing!AF19</f>
        <v>96838.514437065649</v>
      </c>
      <c r="AC71" s="115">
        <f>AC70*Inputs_Dynamic!$G$24*Timing!AG19</f>
        <v>99544.182530437261</v>
      </c>
      <c r="AD71" s="115">
        <f>AD70*Inputs_Dynamic!$G$24*Timing!AH19</f>
        <v>102325.44699033769</v>
      </c>
      <c r="AE71" s="115">
        <f>AE70*Inputs_Dynamic!$G$24*Timing!AI19</f>
        <v>105184.4199792477</v>
      </c>
      <c r="AF71" s="115">
        <f>AF70*Inputs_Dynamic!$G$24*Timing!AJ19</f>
        <v>108123.27267346786</v>
      </c>
      <c r="AG71" s="115">
        <f>AG70*Inputs_Dynamic!$G$24*Timing!AK19</f>
        <v>111144.23691196457</v>
      </c>
    </row>
    <row r="73" spans="2:33" ht="14.25" customHeight="1">
      <c r="B73" s="40"/>
      <c r="C73" s="14" t="s">
        <v>656</v>
      </c>
      <c r="D73" s="40"/>
      <c r="E73" s="40"/>
      <c r="F73" s="40"/>
      <c r="G73" s="40"/>
      <c r="H73" s="99">
        <f>IF(SUMPRODUCT(ABS(K85:AG85-(K80:AG80+K81:AG81+K82:AG82+K83:AG83+K84:AG84)))&lt;0.01,0,1)</f>
        <v>0</v>
      </c>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row>
    <row r="75" spans="2:33" ht="14.25" customHeight="1">
      <c r="E75" s="25" t="s">
        <v>657</v>
      </c>
      <c r="F75" s="7" t="s">
        <v>270</v>
      </c>
      <c r="G75" s="245">
        <f>Inputs!$I$104</f>
        <v>120</v>
      </c>
    </row>
    <row r="76" spans="2:33" ht="14.25" customHeight="1">
      <c r="E76" s="25" t="s">
        <v>658</v>
      </c>
      <c r="F76" s="7" t="s">
        <v>270</v>
      </c>
      <c r="G76" s="240">
        <f>Inputs!$I$107</f>
        <v>120</v>
      </c>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row>
    <row r="77" spans="2:33" ht="14.25" customHeight="1">
      <c r="E77" s="25" t="s">
        <v>659</v>
      </c>
      <c r="F77" s="7" t="s">
        <v>648</v>
      </c>
      <c r="G77" s="240">
        <f>Inputs!$I$108</f>
        <v>5.0000000000000001E-3</v>
      </c>
      <c r="K77" s="86"/>
      <c r="L77" s="86"/>
      <c r="M77" s="86"/>
      <c r="N77" s="86"/>
      <c r="O77" s="86"/>
      <c r="P77" s="86"/>
      <c r="Q77" s="86"/>
      <c r="R77" s="86"/>
      <c r="S77" s="86"/>
      <c r="T77" s="86"/>
      <c r="U77" s="86"/>
      <c r="V77" s="86"/>
      <c r="W77" s="86"/>
      <c r="X77" s="86"/>
      <c r="Y77" s="86"/>
      <c r="Z77" s="86"/>
      <c r="AA77" s="86"/>
      <c r="AB77" s="86"/>
      <c r="AC77" s="86"/>
      <c r="AD77" s="86"/>
      <c r="AE77" s="86"/>
      <c r="AF77" s="86"/>
      <c r="AG77" s="86"/>
    </row>
    <row r="78" spans="2:33" ht="14.25" customHeight="1">
      <c r="E78" s="25" t="s">
        <v>195</v>
      </c>
      <c r="F78" s="7" t="s">
        <v>648</v>
      </c>
      <c r="G78" s="240">
        <f>Inputs!$I$109</f>
        <v>0.02</v>
      </c>
    </row>
    <row r="79" spans="2:33" ht="14.25" customHeight="1">
      <c r="E79" s="25" t="s">
        <v>198</v>
      </c>
      <c r="F79" s="7" t="s">
        <v>648</v>
      </c>
      <c r="G79" s="244">
        <f>Inputs!$I$110</f>
        <v>8000</v>
      </c>
    </row>
    <row r="80" spans="2:33" ht="14.25" customHeight="1">
      <c r="C80" s="121"/>
      <c r="E80" s="25" t="s">
        <v>660</v>
      </c>
      <c r="F80" s="7" t="str">
        <f>Inputs!$D$7</f>
        <v>HUF</v>
      </c>
      <c r="I80" s="103">
        <f t="shared" ref="I80:I85" si="20">SUM(K80:AG80)</f>
        <v>639130.11258170707</v>
      </c>
      <c r="K80" s="36">
        <f>MAX(K43-Inputs_Dynamic!$T$40,0)*$G$75*Timing!O20</f>
        <v>0</v>
      </c>
      <c r="L80" s="36">
        <f>MAX(L43-Inputs_Dynamic!$T$40,0)*$G$75*Timing!P20</f>
        <v>0</v>
      </c>
      <c r="M80" s="36">
        <f>MAX(M43-Inputs_Dynamic!$T$40,0)*$G$75*Timing!Q20</f>
        <v>0</v>
      </c>
      <c r="N80" s="36">
        <f>MAX(N43-Inputs_Dynamic!$T$40,0)*$G$75*Timing!R20</f>
        <v>25508.541875701623</v>
      </c>
      <c r="O80" s="36">
        <f>MAX(O43-Inputs_Dynamic!$T$40,0)*$G$75*Timing!S20</f>
        <v>26097.161093255498</v>
      </c>
      <c r="P80" s="36">
        <f>MAX(P43-Inputs_Dynamic!$T$40,0)*$G$75*Timing!T20</f>
        <v>26699.362921095846</v>
      </c>
      <c r="Q80" s="36">
        <f>MAX(Q43-Inputs_Dynamic!$T$40,0)*$G$75*Timing!U20</f>
        <v>27315.460783074104</v>
      </c>
      <c r="R80" s="36">
        <f>MAX(R43-Inputs_Dynamic!$T$40,0)*$G$75*Timing!V20</f>
        <v>27945.775335415186</v>
      </c>
      <c r="S80" s="36">
        <f>MAX(S43-Inputs_Dynamic!$T$40,0)*$G$75*Timing!W20</f>
        <v>28590.634633607278</v>
      </c>
      <c r="T80" s="36">
        <f>MAX(T43-Inputs_Dynamic!$T$40,0)*$G$75*Timing!X20</f>
        <v>29250.374303142573</v>
      </c>
      <c r="U80" s="36">
        <f>MAX(U43-Inputs_Dynamic!$T$40,0)*$G$75*Timing!Y20</f>
        <v>29925.337714198013</v>
      </c>
      <c r="V80" s="36">
        <f>MAX(V43-Inputs_Dynamic!$T$40,0)*$G$75*Timing!Z20</f>
        <v>30615.876160346736</v>
      </c>
      <c r="W80" s="36">
        <f>MAX(W43-Inputs_Dynamic!$T$40,0)*$G$75*Timing!AA20</f>
        <v>31322.349041393532</v>
      </c>
      <c r="X80" s="36">
        <f>MAX(X43-Inputs_Dynamic!$T$40,0)*$G$75*Timing!AB20</f>
        <v>32045.124050429105</v>
      </c>
      <c r="Y80" s="36">
        <f>MAX(Y43-Inputs_Dynamic!$T$40,0)*$G$75*Timing!AC20</f>
        <v>32784.577365200821</v>
      </c>
      <c r="Z80" s="36">
        <f>MAX(Z43-Inputs_Dynamic!$T$40,0)*$G$75*Timing!AD20</f>
        <v>33541.093843899318</v>
      </c>
      <c r="AA80" s="36">
        <f>MAX(AA43-Inputs_Dynamic!$T$40,0)*$G$75*Timing!AE20</f>
        <v>34315.067225463055</v>
      </c>
      <c r="AB80" s="36">
        <f>MAX(AB43-Inputs_Dynamic!$T$40,0)*$G$75*Timing!AF20</f>
        <v>35106.900334504913</v>
      </c>
      <c r="AC80" s="36">
        <f>MAX(AC43-Inputs_Dynamic!$T$40,0)*$G$75*Timing!AG20</f>
        <v>35917.005290967456</v>
      </c>
      <c r="AD80" s="36">
        <f>MAX(AD43-Inputs_Dynamic!$T$40,0)*$G$75*Timing!AH20</f>
        <v>36745.803724616315</v>
      </c>
      <c r="AE80" s="36">
        <f>MAX(AE43-Inputs_Dynamic!$T$40,0)*$G$75*Timing!AI20</f>
        <v>37593.726994482837</v>
      </c>
      <c r="AF80" s="36">
        <f>MAX(AF43-Inputs_Dynamic!$T$40,0)*$G$75*Timing!AJ20</f>
        <v>38461.216413370596</v>
      </c>
      <c r="AG80" s="36">
        <f>MAX(AG43-Inputs_Dynamic!$T$40,0)*$G$75*Timing!AK20</f>
        <v>39348.723477542451</v>
      </c>
    </row>
    <row r="81" spans="2:34" ht="14.25" customHeight="1">
      <c r="E81" s="25" t="s">
        <v>661</v>
      </c>
      <c r="F81" s="7" t="str">
        <f>Inputs!$D$7</f>
        <v>HUF</v>
      </c>
      <c r="I81" s="103">
        <f t="shared" si="20"/>
        <v>157895.79822315075</v>
      </c>
      <c r="K81" s="36">
        <f>K45*$G$76*Timing!O20</f>
        <v>0</v>
      </c>
      <c r="L81" s="36">
        <f>L45*$G$76*Timing!P20</f>
        <v>0</v>
      </c>
      <c r="M81" s="36">
        <f>M45*$G$76*Timing!Q20</f>
        <v>0</v>
      </c>
      <c r="N81" s="36">
        <f>N45*$G$76*Timing!R20</f>
        <v>6367.2479999999996</v>
      </c>
      <c r="O81" s="36">
        <f>O45*$G$76*Timing!S20</f>
        <v>6507.6081763527054</v>
      </c>
      <c r="P81" s="36">
        <f>P45*$G$76*Timing!T20</f>
        <v>6651.0624648093781</v>
      </c>
      <c r="Q81" s="36">
        <f>Q45*$G$76*Timing!U20</f>
        <v>6797.6790722500655</v>
      </c>
      <c r="R81" s="36">
        <f>R45*$G$76*Timing!V20</f>
        <v>6947.5277091132921</v>
      </c>
      <c r="S81" s="36">
        <f>S45*$G$76*Timing!W20</f>
        <v>7100.6796225406415</v>
      </c>
      <c r="T81" s="36">
        <f>T45*$G$76*Timing!X20</f>
        <v>7257.2076302519563</v>
      </c>
      <c r="U81" s="36">
        <f>U45*$G$76*Timing!Y20</f>
        <v>7417.1861551673319</v>
      </c>
      <c r="V81" s="36">
        <f>V45*$G$76*Timing!Z20</f>
        <v>7580.6912607922604</v>
      </c>
      <c r="W81" s="36">
        <f>W45*$G$76*Timing!AA20</f>
        <v>7747.8006873828735</v>
      </c>
      <c r="X81" s="36">
        <f>X45*$G$76*Timing!AB20</f>
        <v>7918.5938889083454</v>
      </c>
      <c r="Y81" s="36">
        <f>Y45*$G$76*Timing!AC20</f>
        <v>8093.1520708281705</v>
      </c>
      <c r="Z81" s="36">
        <f>Z45*$G$76*Timing!AD20</f>
        <v>8271.5582287021352</v>
      </c>
      <c r="AA81" s="36">
        <f>AA45*$G$76*Timing!AE20</f>
        <v>8453.8971876514843</v>
      </c>
      <c r="AB81" s="36">
        <f>AB45*$G$76*Timing!AF20</f>
        <v>8640.2556426898918</v>
      </c>
      <c r="AC81" s="36">
        <f>AC45*$G$76*Timing!AG20</f>
        <v>8830.7221999435769</v>
      </c>
      <c r="AD81" s="36">
        <f>AD45*$G$76*Timing!AH20</f>
        <v>9025.3874187800084</v>
      </c>
      <c r="AE81" s="36">
        <f>AE45*$G$76*Timing!AI20</f>
        <v>9224.3438548653394</v>
      </c>
      <c r="AF81" s="36">
        <f>AF45*$G$76*Timing!AJ20</f>
        <v>9427.686104170989</v>
      </c>
      <c r="AG81" s="36">
        <f>AG45*$G$76*Timing!AK20</f>
        <v>9635.5108479503087</v>
      </c>
    </row>
    <row r="82" spans="2:34" ht="14.25" customHeight="1">
      <c r="E82" s="25" t="s">
        <v>662</v>
      </c>
      <c r="F82" s="7" t="str">
        <f>Inputs!$D$7</f>
        <v>HUF</v>
      </c>
      <c r="I82" s="103">
        <f t="shared" si="20"/>
        <v>511085.70685429941</v>
      </c>
      <c r="K82" s="36">
        <f>($G$77+$G$78)*Construction!$G$48*Timing!O18*Timing!O21*K11</f>
        <v>0</v>
      </c>
      <c r="L82" s="36">
        <f>($G$77+$G$78)*Construction!$G$48*Timing!P18*Timing!P21*L11</f>
        <v>0</v>
      </c>
      <c r="M82" s="36">
        <f>($G$77+$G$78)*Construction!$G$48*Timing!Q18*Timing!Q21*M11</f>
        <v>0</v>
      </c>
      <c r="N82" s="36">
        <f>($G$77+$G$78)*Construction!$G$48*Timing!R18*Timing!R21*N11</f>
        <v>18981.752561247878</v>
      </c>
      <c r="O82" s="36">
        <f>($G$77+$G$78)*Construction!$G$48*Timing!S18*Timing!S21*O11</f>
        <v>19555.001488597565</v>
      </c>
      <c r="P82" s="36">
        <f>($G$77+$G$78)*Construction!$G$48*Timing!T18*Timing!T21*P11</f>
        <v>20145.562533553213</v>
      </c>
      <c r="Q82" s="36">
        <f>($G$77+$G$78)*Construction!$G$48*Timing!U18*Timing!U21*Q11</f>
        <v>20753.958522066521</v>
      </c>
      <c r="R82" s="36">
        <f>($G$77+$G$78)*Construction!$G$48*Timing!V18*Timing!V21*R11</f>
        <v>21380.72806943292</v>
      </c>
      <c r="S82" s="36">
        <f>($G$77+$G$78)*Construction!$G$48*Timing!W18*Timing!W21*S11</f>
        <v>22026.426057129804</v>
      </c>
      <c r="T82" s="36">
        <f>($G$77+$G$78)*Construction!$G$48*Timing!X18*Timing!X21*T11</f>
        <v>22691.624124055124</v>
      </c>
      <c r="U82" s="36">
        <f>($G$77+$G$78)*Construction!$G$48*Timing!Y18*Timing!Y21*U11</f>
        <v>23376.911172601594</v>
      </c>
      <c r="V82" s="36">
        <f>($G$77+$G$78)*Construction!$G$48*Timing!Z18*Timing!Z21*V11</f>
        <v>24082.893890014151</v>
      </c>
      <c r="W82" s="36">
        <f>($G$77+$G$78)*Construction!$G$48*Timing!AA18*Timing!AA21*W11</f>
        <v>24810.197285492584</v>
      </c>
      <c r="X82" s="36">
        <f>($G$77+$G$78)*Construction!$G$48*Timing!AB18*Timing!AB21*X11</f>
        <v>25559.46524351446</v>
      </c>
      <c r="Y82" s="36">
        <f>($G$77+$G$78)*Construction!$G$48*Timing!AC18*Timing!AC21*Y11</f>
        <v>26331.361093868603</v>
      </c>
      <c r="Z82" s="36">
        <f>($G$77+$G$78)*Construction!$G$48*Timing!AD18*Timing!AD21*Z11</f>
        <v>27126.568198903416</v>
      </c>
      <c r="AA82" s="36">
        <f>($G$77+$G$78)*Construction!$G$48*Timing!AE18*Timing!AE21*AA11</f>
        <v>27945.790558510318</v>
      </c>
      <c r="AB82" s="36">
        <f>($G$77+$G$78)*Construction!$G$48*Timing!AF18*Timing!AF21*AB11</f>
        <v>28789.753433377329</v>
      </c>
      <c r="AC82" s="36">
        <f>($G$77+$G$78)*Construction!$G$48*Timing!AG18*Timing!AG21*AC11</f>
        <v>29659.203987065324</v>
      </c>
      <c r="AD82" s="36">
        <f>($G$77+$G$78)*Construction!$G$48*Timing!AH18*Timing!AH21*AD11</f>
        <v>30554.911947474688</v>
      </c>
      <c r="AE82" s="36">
        <f>($G$77+$G$78)*Construction!$G$48*Timing!AI18*Timing!AI21*AE11</f>
        <v>31477.670288288427</v>
      </c>
      <c r="AF82" s="36">
        <f>($G$77+$G$78)*Construction!$G$48*Timing!AJ18*Timing!AJ21*AF11</f>
        <v>32428.295930994736</v>
      </c>
      <c r="AG82" s="36">
        <f>($G$77+$G$78)*Construction!$G$48*Timing!AK18*Timing!AK21*AG11</f>
        <v>33407.630468110787</v>
      </c>
      <c r="AH82" s="36">
        <f>($G$77+$G$78)*Construction!$G$48*Timing!AL18*Timing!AL21*AH11</f>
        <v>0</v>
      </c>
    </row>
    <row r="83" spans="2:34" ht="14.25" customHeight="1">
      <c r="E83" s="25" t="s">
        <v>663</v>
      </c>
      <c r="F83" s="7" t="str">
        <f>Inputs!$D$7</f>
        <v>HUF</v>
      </c>
      <c r="I83" s="103">
        <f t="shared" si="20"/>
        <v>235511.46357464261</v>
      </c>
      <c r="K83" s="36">
        <f>$G$79*Timing!O18*Timing!O21*K11*IF(ISNUMBER($G$37),1,0)</f>
        <v>0</v>
      </c>
      <c r="L83" s="36">
        <f>$G$79*Timing!P18*Timing!P21*L11*IF(ISNUMBER($G$37),1,0)</f>
        <v>0</v>
      </c>
      <c r="M83" s="36">
        <f>$G$79*Timing!Q18*Timing!Q21*M11*IF(ISNUMBER($G$37),1,0)</f>
        <v>0</v>
      </c>
      <c r="N83" s="36">
        <f>$G$79*Timing!R18*Timing!R21*N11*IF(ISNUMBER($G$37),1,0)</f>
        <v>8746.9093088639984</v>
      </c>
      <c r="O83" s="36">
        <f>$G$79*Timing!S18*Timing!S21*O11*IF(ISNUMBER($G$37),1,0)</f>
        <v>9011.0659699916941</v>
      </c>
      <c r="P83" s="36">
        <f>$G$79*Timing!T18*Timing!T21*P11*IF(ISNUMBER($G$37),1,0)</f>
        <v>9283.2001622854405</v>
      </c>
      <c r="Q83" s="36">
        <f>$G$79*Timing!U18*Timing!U21*Q11*IF(ISNUMBER($G$37),1,0)</f>
        <v>9563.5528071864646</v>
      </c>
      <c r="R83" s="36">
        <f>$G$79*Timing!V18*Timing!V21*R11*IF(ISNUMBER($G$37),1,0)</f>
        <v>9852.3721019634904</v>
      </c>
      <c r="S83" s="36">
        <f>$G$79*Timing!W18*Timing!W21*S11*IF(ISNUMBER($G$37),1,0)</f>
        <v>10149.913739442791</v>
      </c>
      <c r="T83" s="36">
        <f>$G$79*Timing!X18*Timing!X21*T11*IF(ISNUMBER($G$37),1,0)</f>
        <v>10456.441134373965</v>
      </c>
      <c r="U83" s="36">
        <f>$G$79*Timing!Y18*Timing!Y21*U11*IF(ISNUMBER($G$37),1,0)</f>
        <v>10772.225656632059</v>
      </c>
      <c r="V83" s="36">
        <f>$G$79*Timing!Z18*Timing!Z21*V11*IF(ISNUMBER($G$37),1,0)</f>
        <v>11097.546871462342</v>
      </c>
      <c r="W83" s="36">
        <f>$G$79*Timing!AA18*Timing!AA21*W11*IF(ISNUMBER($G$37),1,0)</f>
        <v>11432.692786980508</v>
      </c>
      <c r="X83" s="36">
        <f>$G$79*Timing!AB18*Timing!AB21*X11*IF(ISNUMBER($G$37),1,0)</f>
        <v>11777.960109147318</v>
      </c>
      <c r="Y83" s="36">
        <f>$G$79*Timing!AC18*Timing!AC21*Y11*IF(ISNUMBER($G$37),1,0)</f>
        <v>12133.65450444357</v>
      </c>
      <c r="Z83" s="36">
        <f>$G$79*Timing!AD18*Timing!AD21*Z11*IF(ISNUMBER($G$37),1,0)</f>
        <v>12500.090870477759</v>
      </c>
      <c r="AA83" s="36">
        <f>$G$79*Timing!AE18*Timing!AE21*AA11*IF(ISNUMBER($G$37),1,0)</f>
        <v>12877.593614766194</v>
      </c>
      <c r="AB83" s="36">
        <f>$G$79*Timing!AF18*Timing!AF21*AB11*IF(ISNUMBER($G$37),1,0)</f>
        <v>13266.496941932135</v>
      </c>
      <c r="AC83" s="36">
        <f>$G$79*Timing!AG18*Timing!AG21*AC11*IF(ISNUMBER($G$37),1,0)</f>
        <v>13667.145149578484</v>
      </c>
      <c r="AD83" s="36">
        <f>$G$79*Timing!AH18*Timing!AH21*AD11*IF(ISNUMBER($G$37),1,0)</f>
        <v>14079.892933095751</v>
      </c>
      <c r="AE83" s="36">
        <f>$G$79*Timing!AI18*Timing!AI21*AE11*IF(ISNUMBER($G$37),1,0)</f>
        <v>14505.105699675245</v>
      </c>
      <c r="AF83" s="36">
        <f>$G$79*Timing!AJ18*Timing!AJ21*AF11*IF(ISNUMBER($G$37),1,0)</f>
        <v>14943.159891805435</v>
      </c>
      <c r="AG83" s="36">
        <f>$G$79*Timing!AK18*Timing!AK21*AG11*IF(ISNUMBER($G$37),1,0)</f>
        <v>15394.443320537963</v>
      </c>
    </row>
    <row r="84" spans="2:34" ht="14.25" customHeight="1">
      <c r="E84" s="25" t="s">
        <v>269</v>
      </c>
      <c r="F84" s="7" t="str">
        <f>Inputs!$D$7</f>
        <v>HUF</v>
      </c>
      <c r="I84" s="103">
        <f t="shared" si="20"/>
        <v>0</v>
      </c>
      <c r="K84" s="36">
        <f>K28*Inputs!$I$168*Timing!O18</f>
        <v>0</v>
      </c>
      <c r="L84" s="36">
        <f>L28*Inputs!$I$168*Timing!P18</f>
        <v>0</v>
      </c>
      <c r="M84" s="36">
        <f>M28*Inputs!$I$168*Timing!Q18</f>
        <v>0</v>
      </c>
      <c r="N84" s="36">
        <f>N28*Inputs!$I$168*Timing!R18</f>
        <v>0</v>
      </c>
      <c r="O84" s="36">
        <f>O28*Inputs!$I$168*Timing!S18</f>
        <v>0</v>
      </c>
      <c r="P84" s="36">
        <f>P28*Inputs!$I$168*Timing!T18</f>
        <v>0</v>
      </c>
      <c r="Q84" s="36">
        <f>Q28*Inputs!$I$168*Timing!U18</f>
        <v>0</v>
      </c>
      <c r="R84" s="36">
        <f>R28*Inputs!$I$168*Timing!V18</f>
        <v>0</v>
      </c>
      <c r="S84" s="36">
        <f>S28*Inputs!$I$168*Timing!W18</f>
        <v>0</v>
      </c>
      <c r="T84" s="36">
        <f>T28*Inputs!$I$168*Timing!X18</f>
        <v>0</v>
      </c>
      <c r="U84" s="36">
        <f>U28*Inputs!$I$168*Timing!Y18</f>
        <v>0</v>
      </c>
      <c r="V84" s="36">
        <f>V28*Inputs!$I$168*Timing!Z18</f>
        <v>0</v>
      </c>
      <c r="W84" s="36">
        <f>W28*Inputs!$I$168*Timing!AA18</f>
        <v>0</v>
      </c>
      <c r="X84" s="36">
        <f>X28*Inputs!$I$168*Timing!AB18</f>
        <v>0</v>
      </c>
      <c r="Y84" s="36">
        <f>Y28*Inputs!$I$168*Timing!AC18</f>
        <v>0</v>
      </c>
      <c r="Z84" s="36">
        <f>Z28*Inputs!$I$168*Timing!AD18</f>
        <v>0</v>
      </c>
      <c r="AA84" s="36">
        <f>AA28*Inputs!$I$168*Timing!AE18</f>
        <v>0</v>
      </c>
      <c r="AB84" s="36">
        <f>AB28*Inputs!$I$168*Timing!AF18</f>
        <v>0</v>
      </c>
      <c r="AC84" s="36">
        <f>AC28*Inputs!$I$168*Timing!AG18</f>
        <v>0</v>
      </c>
      <c r="AD84" s="36">
        <f>AD28*Inputs!$I$168*Timing!AH18</f>
        <v>0</v>
      </c>
      <c r="AE84" s="36">
        <f>AE28*Inputs!$I$168*Timing!AI18</f>
        <v>0</v>
      </c>
      <c r="AF84" s="36">
        <f>AF28*Inputs!$I$168*Timing!AJ18</f>
        <v>0</v>
      </c>
      <c r="AG84" s="36">
        <f>AG28*Inputs!$I$168*Timing!AK18</f>
        <v>0</v>
      </c>
    </row>
    <row r="85" spans="2:34" ht="14.25" customHeight="1">
      <c r="E85" s="106" t="s">
        <v>664</v>
      </c>
      <c r="F85" s="122" t="str">
        <f>Inputs!$D$7</f>
        <v>HUF</v>
      </c>
      <c r="G85" s="122"/>
      <c r="H85" s="122"/>
      <c r="I85" s="60">
        <f t="shared" si="20"/>
        <v>1543623.0812338002</v>
      </c>
      <c r="J85" s="122"/>
      <c r="K85" s="122">
        <f t="shared" ref="K85:AG85" si="21">SUM(K80:K84)</f>
        <v>0</v>
      </c>
      <c r="L85" s="122">
        <f t="shared" si="21"/>
        <v>0</v>
      </c>
      <c r="M85" s="122">
        <f t="shared" si="21"/>
        <v>0</v>
      </c>
      <c r="N85" s="122">
        <f t="shared" si="21"/>
        <v>59604.451745813501</v>
      </c>
      <c r="O85" s="122">
        <f t="shared" si="21"/>
        <v>61170.836728197457</v>
      </c>
      <c r="P85" s="122">
        <f t="shared" si="21"/>
        <v>62779.18808174388</v>
      </c>
      <c r="Q85" s="122">
        <f t="shared" si="21"/>
        <v>64430.65118457716</v>
      </c>
      <c r="R85" s="122">
        <f t="shared" si="21"/>
        <v>66126.403215924889</v>
      </c>
      <c r="S85" s="122">
        <f t="shared" si="21"/>
        <v>67867.654052720522</v>
      </c>
      <c r="T85" s="122">
        <f t="shared" si="21"/>
        <v>69655.64719182362</v>
      </c>
      <c r="U85" s="122">
        <f t="shared" si="21"/>
        <v>71491.660698598993</v>
      </c>
      <c r="V85" s="122">
        <f t="shared" si="21"/>
        <v>73377.008182615493</v>
      </c>
      <c r="W85" s="122">
        <f t="shared" si="21"/>
        <v>75313.039801249499</v>
      </c>
      <c r="X85" s="122">
        <f t="shared" si="21"/>
        <v>77301.143291999237</v>
      </c>
      <c r="Y85" s="122">
        <f t="shared" si="21"/>
        <v>79342.745034341177</v>
      </c>
      <c r="Z85" s="122">
        <f t="shared" si="21"/>
        <v>81439.311141982631</v>
      </c>
      <c r="AA85" s="122">
        <f t="shared" si="21"/>
        <v>83592.348586391061</v>
      </c>
      <c r="AB85" s="122">
        <f t="shared" si="21"/>
        <v>85803.406352504273</v>
      </c>
      <c r="AC85" s="122">
        <f t="shared" si="21"/>
        <v>88074.076627554838</v>
      </c>
      <c r="AD85" s="122">
        <f t="shared" si="21"/>
        <v>90405.996023966756</v>
      </c>
      <c r="AE85" s="122">
        <f t="shared" si="21"/>
        <v>92800.846837311852</v>
      </c>
      <c r="AF85" s="122">
        <f t="shared" si="21"/>
        <v>95260.358340341758</v>
      </c>
      <c r="AG85" s="122">
        <f t="shared" si="21"/>
        <v>97786.308114141502</v>
      </c>
    </row>
    <row r="87" spans="2:34" ht="14.25" customHeight="1">
      <c r="B87" s="14"/>
      <c r="C87" s="14" t="s">
        <v>665</v>
      </c>
      <c r="D87" s="14"/>
      <c r="E87" s="14"/>
      <c r="F87" s="14"/>
      <c r="G87" s="14"/>
      <c r="H87" s="16">
        <f t="array" ref="H87">IF(SUMPRODUCT(ABS(K91:AG91-(K88:AG88+K89:AG89+K90:AG90)))&lt;0.01,0,1)</f>
        <v>0</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row>
    <row r="88" spans="2:34" ht="14.25" customHeight="1">
      <c r="E88" s="25" t="s">
        <v>666</v>
      </c>
      <c r="F88" s="7" t="str">
        <f>Inputs!$D$7</f>
        <v>HUF</v>
      </c>
      <c r="I88" s="105">
        <f>SUM(K88:AG88)</f>
        <v>1623838.1674869433</v>
      </c>
      <c r="K88" s="36">
        <f t="shared" ref="K88:AG88" si="22">K66</f>
        <v>0</v>
      </c>
      <c r="L88" s="36">
        <f t="shared" si="22"/>
        <v>0</v>
      </c>
      <c r="M88" s="36">
        <f t="shared" si="22"/>
        <v>0</v>
      </c>
      <c r="N88" s="36">
        <f t="shared" si="22"/>
        <v>62359.942261887321</v>
      </c>
      <c r="O88" s="36">
        <f t="shared" si="22"/>
        <v>64034.871116524453</v>
      </c>
      <c r="P88" s="36">
        <f t="shared" si="22"/>
        <v>65755.249324716948</v>
      </c>
      <c r="Q88" s="36">
        <f t="shared" si="22"/>
        <v>67522.319778230274</v>
      </c>
      <c r="R88" s="36">
        <f t="shared" si="22"/>
        <v>69337.359555962379</v>
      </c>
      <c r="S88" s="36">
        <f t="shared" si="22"/>
        <v>71201.680868346884</v>
      </c>
      <c r="T88" s="36">
        <f t="shared" si="22"/>
        <v>73116.632027927233</v>
      </c>
      <c r="U88" s="36">
        <f t="shared" si="22"/>
        <v>75083.598446828633</v>
      </c>
      <c r="V88" s="36">
        <f t="shared" si="22"/>
        <v>77104.003661874958</v>
      </c>
      <c r="W88" s="36">
        <f t="shared" si="22"/>
        <v>79179.310388118523</v>
      </c>
      <c r="X88" s="36">
        <f t="shared" si="22"/>
        <v>81311.02160157192</v>
      </c>
      <c r="Y88" s="36">
        <f t="shared" si="22"/>
        <v>83500.681651953433</v>
      </c>
      <c r="Z88" s="36">
        <f t="shared" si="22"/>
        <v>85749.877406279251</v>
      </c>
      <c r="AA88" s="36">
        <f t="shared" si="22"/>
        <v>88060.239424160332</v>
      </c>
      <c r="AB88" s="36">
        <f t="shared" si="22"/>
        <v>90433.443165684002</v>
      </c>
      <c r="AC88" s="36">
        <f t="shared" si="22"/>
        <v>92871.210232786136</v>
      </c>
      <c r="AD88" s="36">
        <f t="shared" si="22"/>
        <v>95375.309645044137</v>
      </c>
      <c r="AE88" s="36">
        <f t="shared" si="22"/>
        <v>97947.559150847694</v>
      </c>
      <c r="AF88" s="36">
        <f t="shared" si="22"/>
        <v>100589.82657492983</v>
      </c>
      <c r="AG88" s="36">
        <f t="shared" si="22"/>
        <v>103304.03120326898</v>
      </c>
    </row>
    <row r="89" spans="2:34" ht="14.25" customHeight="1">
      <c r="E89" s="25" t="s">
        <v>667</v>
      </c>
      <c r="F89" s="7" t="str">
        <f>Inputs!$D$7</f>
        <v>HUF</v>
      </c>
      <c r="I89" s="105">
        <f>SUM(K89:AG89)</f>
        <v>1732575.3644349144</v>
      </c>
      <c r="K89" s="36">
        <f t="shared" ref="K89:AG89" si="23">K71</f>
        <v>0</v>
      </c>
      <c r="L89" s="36">
        <f t="shared" si="23"/>
        <v>0</v>
      </c>
      <c r="M89" s="36">
        <f t="shared" si="23"/>
        <v>0</v>
      </c>
      <c r="N89" s="36">
        <f t="shared" si="23"/>
        <v>65841.451208973405</v>
      </c>
      <c r="O89" s="36">
        <f t="shared" si="23"/>
        <v>67681.061355752114</v>
      </c>
      <c r="P89" s="36">
        <f t="shared" si="23"/>
        <v>69572.070210031816</v>
      </c>
      <c r="Q89" s="36">
        <f t="shared" si="23"/>
        <v>71515.913851700112</v>
      </c>
      <c r="R89" s="36">
        <f t="shared" si="23"/>
        <v>73514.068484716612</v>
      </c>
      <c r="S89" s="36">
        <f t="shared" si="23"/>
        <v>75568.051558179592</v>
      </c>
      <c r="T89" s="36">
        <f t="shared" si="23"/>
        <v>77679.422918715121</v>
      </c>
      <c r="U89" s="36">
        <f t="shared" si="23"/>
        <v>79849.785995064027</v>
      </c>
      <c r="V89" s="36">
        <f t="shared" si="23"/>
        <v>82080.789015766131</v>
      </c>
      <c r="W89" s="36">
        <f t="shared" si="23"/>
        <v>84374.1262608666</v>
      </c>
      <c r="X89" s="36">
        <f t="shared" si="23"/>
        <v>86731.539348595223</v>
      </c>
      <c r="Y89" s="36">
        <f t="shared" si="23"/>
        <v>89154.818557994979</v>
      </c>
      <c r="Z89" s="36">
        <f t="shared" si="23"/>
        <v>91645.804188505368</v>
      </c>
      <c r="AA89" s="36">
        <f t="shared" si="23"/>
        <v>94206.387957532192</v>
      </c>
      <c r="AB89" s="36">
        <f t="shared" si="23"/>
        <v>96838.514437065649</v>
      </c>
      <c r="AC89" s="36">
        <f t="shared" si="23"/>
        <v>99544.182530437261</v>
      </c>
      <c r="AD89" s="36">
        <f t="shared" si="23"/>
        <v>102325.44699033769</v>
      </c>
      <c r="AE89" s="36">
        <f t="shared" si="23"/>
        <v>105184.4199792477</v>
      </c>
      <c r="AF89" s="36">
        <f t="shared" si="23"/>
        <v>108123.27267346786</v>
      </c>
      <c r="AG89" s="36">
        <f t="shared" si="23"/>
        <v>111144.23691196457</v>
      </c>
    </row>
    <row r="90" spans="2:34" ht="14.25" customHeight="1">
      <c r="E90" s="25" t="s">
        <v>668</v>
      </c>
      <c r="F90" s="7" t="str">
        <f>Inputs!$D$7</f>
        <v>HUF</v>
      </c>
      <c r="I90" s="105">
        <f>SUM(K90:AG90)</f>
        <v>-1543623.0812338002</v>
      </c>
      <c r="K90" s="36">
        <f t="shared" ref="K90:AG90" si="24">-K85</f>
        <v>0</v>
      </c>
      <c r="L90" s="36">
        <f t="shared" si="24"/>
        <v>0</v>
      </c>
      <c r="M90" s="36">
        <f t="shared" si="24"/>
        <v>0</v>
      </c>
      <c r="N90" s="36">
        <f t="shared" si="24"/>
        <v>-59604.451745813501</v>
      </c>
      <c r="O90" s="36">
        <f t="shared" si="24"/>
        <v>-61170.836728197457</v>
      </c>
      <c r="P90" s="36">
        <f t="shared" si="24"/>
        <v>-62779.18808174388</v>
      </c>
      <c r="Q90" s="36">
        <f t="shared" si="24"/>
        <v>-64430.65118457716</v>
      </c>
      <c r="R90" s="36">
        <f t="shared" si="24"/>
        <v>-66126.403215924889</v>
      </c>
      <c r="S90" s="36">
        <f t="shared" si="24"/>
        <v>-67867.654052720522</v>
      </c>
      <c r="T90" s="36">
        <f t="shared" si="24"/>
        <v>-69655.64719182362</v>
      </c>
      <c r="U90" s="36">
        <f t="shared" si="24"/>
        <v>-71491.660698598993</v>
      </c>
      <c r="V90" s="36">
        <f t="shared" si="24"/>
        <v>-73377.008182615493</v>
      </c>
      <c r="W90" s="36">
        <f t="shared" si="24"/>
        <v>-75313.039801249499</v>
      </c>
      <c r="X90" s="36">
        <f t="shared" si="24"/>
        <v>-77301.143291999237</v>
      </c>
      <c r="Y90" s="36">
        <f t="shared" si="24"/>
        <v>-79342.745034341177</v>
      </c>
      <c r="Z90" s="36">
        <f t="shared" si="24"/>
        <v>-81439.311141982631</v>
      </c>
      <c r="AA90" s="36">
        <f t="shared" si="24"/>
        <v>-83592.348586391061</v>
      </c>
      <c r="AB90" s="36">
        <f t="shared" si="24"/>
        <v>-85803.406352504273</v>
      </c>
      <c r="AC90" s="36">
        <f t="shared" si="24"/>
        <v>-88074.076627554838</v>
      </c>
      <c r="AD90" s="36">
        <f t="shared" si="24"/>
        <v>-90405.996023966756</v>
      </c>
      <c r="AE90" s="36">
        <f t="shared" si="24"/>
        <v>-92800.846837311852</v>
      </c>
      <c r="AF90" s="36">
        <f t="shared" si="24"/>
        <v>-95260.358340341758</v>
      </c>
      <c r="AG90" s="36">
        <f t="shared" si="24"/>
        <v>-97786.308114141502</v>
      </c>
    </row>
    <row r="91" spans="2:34" ht="14.25" customHeight="1">
      <c r="E91" s="112" t="s">
        <v>669</v>
      </c>
      <c r="F91" s="107" t="str">
        <f>Inputs!$D$7</f>
        <v>HUF</v>
      </c>
      <c r="G91" s="108"/>
      <c r="H91" s="108"/>
      <c r="I91" s="109">
        <f>SUM(K91:AG91)</f>
        <v>1812790.4506880573</v>
      </c>
      <c r="J91" s="108"/>
      <c r="K91" s="122">
        <f t="shared" ref="K91:AG91" si="25">SUM(K88:K90)</f>
        <v>0</v>
      </c>
      <c r="L91" s="122">
        <f t="shared" si="25"/>
        <v>0</v>
      </c>
      <c r="M91" s="122">
        <f t="shared" si="25"/>
        <v>0</v>
      </c>
      <c r="N91" s="122">
        <f t="shared" si="25"/>
        <v>68596.941725047218</v>
      </c>
      <c r="O91" s="122">
        <f t="shared" si="25"/>
        <v>70545.095744079095</v>
      </c>
      <c r="P91" s="122">
        <f t="shared" si="25"/>
        <v>72548.131453004884</v>
      </c>
      <c r="Q91" s="122">
        <f t="shared" si="25"/>
        <v>74607.582445353226</v>
      </c>
      <c r="R91" s="122">
        <f t="shared" si="25"/>
        <v>76725.024824754102</v>
      </c>
      <c r="S91" s="122">
        <f t="shared" si="25"/>
        <v>78902.078373805969</v>
      </c>
      <c r="T91" s="122">
        <f t="shared" si="25"/>
        <v>81140.407754818749</v>
      </c>
      <c r="U91" s="122">
        <f t="shared" si="25"/>
        <v>83441.723743293682</v>
      </c>
      <c r="V91" s="122">
        <f t="shared" si="25"/>
        <v>85807.784495025597</v>
      </c>
      <c r="W91" s="122">
        <f t="shared" si="25"/>
        <v>88240.396847735639</v>
      </c>
      <c r="X91" s="122">
        <f t="shared" si="25"/>
        <v>90741.417658167891</v>
      </c>
      <c r="Y91" s="122">
        <f t="shared" si="25"/>
        <v>93312.755175607221</v>
      </c>
      <c r="Z91" s="122">
        <f t="shared" si="25"/>
        <v>95956.370452801973</v>
      </c>
      <c r="AA91" s="122">
        <f t="shared" si="25"/>
        <v>98674.278795301463</v>
      </c>
      <c r="AB91" s="122">
        <f t="shared" si="25"/>
        <v>101468.55125024536</v>
      </c>
      <c r="AC91" s="122">
        <f t="shared" si="25"/>
        <v>104341.31613566855</v>
      </c>
      <c r="AD91" s="122">
        <f t="shared" si="25"/>
        <v>107294.76061141508</v>
      </c>
      <c r="AE91" s="122">
        <f t="shared" si="25"/>
        <v>110331.13229278354</v>
      </c>
      <c r="AF91" s="122">
        <f t="shared" si="25"/>
        <v>113452.74090805593</v>
      </c>
      <c r="AG91" s="122">
        <f t="shared" si="25"/>
        <v>116661.96000109207</v>
      </c>
    </row>
    <row r="92" spans="2:34" ht="14.25" customHeight="1">
      <c r="E92" s="25"/>
      <c r="F92" s="7"/>
      <c r="K92" s="85"/>
      <c r="L92" s="85"/>
      <c r="M92" s="85"/>
      <c r="N92" s="85"/>
      <c r="O92" s="85"/>
      <c r="P92" s="85"/>
      <c r="Q92" s="85"/>
      <c r="R92" s="85"/>
      <c r="S92" s="85"/>
      <c r="T92" s="85"/>
      <c r="U92" s="85"/>
      <c r="V92" s="85"/>
    </row>
    <row r="93" spans="2:34" ht="14.25" customHeight="1">
      <c r="B93" s="40"/>
      <c r="C93" s="14" t="s">
        <v>670</v>
      </c>
      <c r="D93" s="40"/>
      <c r="E93" s="116"/>
      <c r="F93" s="117"/>
      <c r="G93" s="117"/>
      <c r="H93" s="117"/>
      <c r="I93" s="117"/>
      <c r="J93" s="117"/>
      <c r="K93" s="117"/>
      <c r="L93" s="119"/>
      <c r="M93" s="119"/>
      <c r="N93" s="119"/>
      <c r="O93" s="119"/>
      <c r="P93" s="119"/>
      <c r="Q93" s="119"/>
      <c r="R93" s="119"/>
      <c r="S93" s="119"/>
      <c r="T93" s="119"/>
      <c r="U93" s="119"/>
      <c r="V93" s="119"/>
      <c r="W93" s="40"/>
      <c r="X93" s="40"/>
      <c r="Y93" s="40"/>
      <c r="Z93" s="40"/>
      <c r="AA93" s="40"/>
      <c r="AB93" s="40"/>
      <c r="AC93" s="40"/>
      <c r="AD93" s="40"/>
      <c r="AE93" s="40"/>
      <c r="AF93" s="40"/>
      <c r="AG93" s="40"/>
    </row>
    <row r="94" spans="2:34" ht="14.25" customHeight="1">
      <c r="E94" s="25"/>
      <c r="F94" s="7"/>
      <c r="K94" s="85"/>
      <c r="L94" s="85"/>
      <c r="M94" s="85"/>
      <c r="N94" s="85"/>
      <c r="O94" s="85"/>
      <c r="P94" s="85"/>
      <c r="Q94" s="85"/>
      <c r="R94" s="85"/>
      <c r="S94" s="85"/>
      <c r="T94" s="85"/>
      <c r="U94" s="85"/>
      <c r="V94" s="85"/>
    </row>
    <row r="95" spans="2:34" ht="14.25" customHeight="1">
      <c r="E95" s="25" t="s">
        <v>363</v>
      </c>
      <c r="F95" s="7" t="s">
        <v>112</v>
      </c>
      <c r="G95" s="246">
        <f>Inputs!$I$52</f>
        <v>720</v>
      </c>
      <c r="K95" s="85"/>
      <c r="L95" s="85"/>
      <c r="M95" s="85"/>
      <c r="N95" s="85"/>
      <c r="O95" s="85"/>
      <c r="P95" s="85"/>
      <c r="Q95" s="85"/>
      <c r="R95" s="85"/>
      <c r="S95" s="85"/>
      <c r="T95" s="85"/>
      <c r="U95" s="85"/>
      <c r="V95" s="85"/>
    </row>
    <row r="96" spans="2:34" ht="14.25" customHeight="1">
      <c r="E96" s="25" t="s">
        <v>671</v>
      </c>
      <c r="F96" s="7" t="s">
        <v>115</v>
      </c>
      <c r="K96" s="123">
        <f t="shared" ref="K96:AG96" si="26">IFERROR(K26/($G$95*8760/1000),0)</f>
        <v>0</v>
      </c>
      <c r="L96" s="123">
        <f t="shared" si="26"/>
        <v>0</v>
      </c>
      <c r="M96" s="123">
        <f t="shared" si="26"/>
        <v>0</v>
      </c>
      <c r="N96" s="123">
        <f t="shared" si="26"/>
        <v>0.26054316674277023</v>
      </c>
      <c r="O96" s="123">
        <f t="shared" si="26"/>
        <v>0.26002208040928471</v>
      </c>
      <c r="P96" s="123">
        <f t="shared" si="26"/>
        <v>0.25950203624846607</v>
      </c>
      <c r="Q96" s="123">
        <f t="shared" si="26"/>
        <v>0.25898303217596919</v>
      </c>
      <c r="R96" s="123">
        <f t="shared" si="26"/>
        <v>0.25846506611161724</v>
      </c>
      <c r="S96" s="123">
        <f t="shared" si="26"/>
        <v>0.25794813597939398</v>
      </c>
      <c r="T96" s="123">
        <f t="shared" si="26"/>
        <v>0.25743223970743517</v>
      </c>
      <c r="U96" s="123">
        <f t="shared" si="26"/>
        <v>0.25691737522802033</v>
      </c>
      <c r="V96" s="123">
        <f t="shared" si="26"/>
        <v>0.25640354047756431</v>
      </c>
      <c r="W96" s="123">
        <f t="shared" si="26"/>
        <v>0.25589073339660917</v>
      </c>
      <c r="X96" s="123">
        <f t="shared" si="26"/>
        <v>0.25537895192981597</v>
      </c>
      <c r="Y96" s="123">
        <f t="shared" si="26"/>
        <v>0.25486819402595634</v>
      </c>
      <c r="Z96" s="123">
        <f t="shared" si="26"/>
        <v>0.25435845763790443</v>
      </c>
      <c r="AA96" s="123">
        <f t="shared" si="26"/>
        <v>0.25384974072262861</v>
      </c>
      <c r="AB96" s="123">
        <f t="shared" si="26"/>
        <v>0.25334204124118337</v>
      </c>
      <c r="AC96" s="123">
        <f t="shared" si="26"/>
        <v>0.25283535715870104</v>
      </c>
      <c r="AD96" s="123">
        <f t="shared" si="26"/>
        <v>0.25232968644438358</v>
      </c>
      <c r="AE96" s="123">
        <f t="shared" si="26"/>
        <v>0.25182502707149484</v>
      </c>
      <c r="AF96" s="123">
        <f t="shared" si="26"/>
        <v>0.25132137701735185</v>
      </c>
      <c r="AG96" s="123">
        <f t="shared" si="26"/>
        <v>0.25081873426331713</v>
      </c>
    </row>
    <row r="97" spans="2:33" ht="14.25" customHeight="1">
      <c r="E97" s="25" t="s">
        <v>672</v>
      </c>
      <c r="F97" s="7" t="s">
        <v>226</v>
      </c>
      <c r="K97" s="104">
        <f t="shared" ref="K97:AG97" si="27">IFERROR(K62/K47,0)</f>
        <v>0</v>
      </c>
      <c r="L97" s="104">
        <f t="shared" si="27"/>
        <v>0</v>
      </c>
      <c r="M97" s="104">
        <f t="shared" si="27"/>
        <v>0</v>
      </c>
      <c r="N97" s="104">
        <f t="shared" si="27"/>
        <v>4.8578550153489948</v>
      </c>
      <c r="O97" s="104">
        <f t="shared" si="27"/>
        <v>4.8230403581395773</v>
      </c>
      <c r="P97" s="104">
        <f t="shared" si="27"/>
        <v>4.7885327369320949</v>
      </c>
      <c r="Q97" s="104">
        <f t="shared" si="27"/>
        <v>4.7543286994865825</v>
      </c>
      <c r="R97" s="104">
        <f t="shared" si="27"/>
        <v>4.7204248428651567</v>
      </c>
      <c r="S97" s="104">
        <f t="shared" si="27"/>
        <v>4.6868178125633424</v>
      </c>
      <c r="T97" s="104">
        <f t="shared" si="27"/>
        <v>4.6535043016596926</v>
      </c>
      <c r="U97" s="104">
        <f t="shared" si="27"/>
        <v>4.6204810499832298</v>
      </c>
      <c r="V97" s="104">
        <f t="shared" si="27"/>
        <v>4.5877448432982852</v>
      </c>
      <c r="W97" s="104">
        <f t="shared" si="27"/>
        <v>4.5552925125062949</v>
      </c>
      <c r="X97" s="104">
        <f t="shared" si="27"/>
        <v>4.5231209328641677</v>
      </c>
      <c r="Y97" s="104">
        <f t="shared" si="27"/>
        <v>4.4912270232188201</v>
      </c>
      <c r="Z97" s="104">
        <f t="shared" si="27"/>
        <v>4.4596077452574594</v>
      </c>
      <c r="AA97" s="104">
        <f t="shared" si="27"/>
        <v>4.4282601027732875</v>
      </c>
      <c r="AB97" s="104">
        <f t="shared" si="27"/>
        <v>4.3971811409462127</v>
      </c>
      <c r="AC97" s="104">
        <f t="shared" si="27"/>
        <v>4.366367945638248</v>
      </c>
      <c r="AD97" s="104">
        <f t="shared" si="27"/>
        <v>4.3358176427032129</v>
      </c>
      <c r="AE97" s="104">
        <f t="shared" si="27"/>
        <v>4.3055273973104278</v>
      </c>
      <c r="AF97" s="104">
        <f t="shared" si="27"/>
        <v>4.2754944132820691</v>
      </c>
      <c r="AG97" s="104">
        <f t="shared" si="27"/>
        <v>4.2457159324438418</v>
      </c>
    </row>
    <row r="100" spans="2:33" ht="14.25" customHeight="1">
      <c r="B100" s="40"/>
      <c r="C100" s="14" t="s">
        <v>673</v>
      </c>
      <c r="D100" s="40"/>
      <c r="E100" s="124"/>
      <c r="F100" s="117"/>
      <c r="G100" s="117"/>
      <c r="H100" s="117"/>
      <c r="I100" s="117"/>
      <c r="J100" s="117"/>
      <c r="K100" s="117"/>
      <c r="L100" s="40"/>
      <c r="M100" s="40"/>
      <c r="N100" s="40"/>
      <c r="O100" s="40"/>
      <c r="P100" s="40"/>
      <c r="Q100" s="40"/>
      <c r="R100" s="40"/>
      <c r="S100" s="40"/>
      <c r="T100" s="40"/>
      <c r="U100" s="40"/>
      <c r="V100" s="40"/>
      <c r="W100" s="40"/>
      <c r="X100" s="40"/>
      <c r="Y100" s="40"/>
      <c r="Z100" s="40"/>
      <c r="AA100" s="40"/>
      <c r="AB100" s="40"/>
      <c r="AC100" s="40"/>
      <c r="AD100" s="40"/>
      <c r="AE100" s="40"/>
      <c r="AF100" s="40"/>
      <c r="AG100" s="40"/>
    </row>
    <row r="102" spans="2:33" ht="14.25" customHeight="1">
      <c r="E102" s="11" t="s">
        <v>674</v>
      </c>
      <c r="K102" s="125" t="s">
        <v>504</v>
      </c>
      <c r="L102" s="125" t="s">
        <v>505</v>
      </c>
      <c r="M102" s="125" t="s">
        <v>506</v>
      </c>
      <c r="N102" s="125" t="s">
        <v>507</v>
      </c>
      <c r="O102" s="125" t="s">
        <v>508</v>
      </c>
      <c r="P102" s="125" t="s">
        <v>509</v>
      </c>
      <c r="Q102" s="125" t="s">
        <v>510</v>
      </c>
      <c r="R102" s="125" t="s">
        <v>511</v>
      </c>
      <c r="S102" s="125" t="s">
        <v>512</v>
      </c>
      <c r="T102" s="125" t="s">
        <v>513</v>
      </c>
      <c r="U102" s="125" t="s">
        <v>514</v>
      </c>
      <c r="V102" s="125" t="s">
        <v>515</v>
      </c>
    </row>
    <row r="103" spans="2:33" ht="14.25" customHeight="1">
      <c r="E103" s="25" t="s">
        <v>368</v>
      </c>
      <c r="F103" s="7" t="s">
        <v>522</v>
      </c>
      <c r="G103" s="247">
        <f>IF(Inputs!$I$19="Yes",Inputs!$I$60/1000,0)</f>
        <v>0</v>
      </c>
    </row>
    <row r="104" spans="2:33" ht="14.25" customHeight="1">
      <c r="E104" s="25" t="s">
        <v>675</v>
      </c>
      <c r="F104" s="7" t="s">
        <v>676</v>
      </c>
      <c r="G104" s="246">
        <f>IF(Inputs!$I$19="Yes",Inputs!$I$61/1000*730,0)</f>
        <v>0</v>
      </c>
    </row>
    <row r="105" spans="2:33" ht="14.25" customHeight="1">
      <c r="E105" s="25" t="s">
        <v>134</v>
      </c>
      <c r="F105" s="7" t="s">
        <v>677</v>
      </c>
      <c r="G105" s="242">
        <f>Inputs!$I$64*Inputs!I192</f>
        <v>0.45599999999999996</v>
      </c>
    </row>
    <row r="106" spans="2:33" ht="14.25" customHeight="1">
      <c r="E106" s="25" t="s">
        <v>132</v>
      </c>
      <c r="F106" s="7" t="s">
        <v>115</v>
      </c>
      <c r="G106" s="242">
        <f>Inputs!$I$63</f>
        <v>0.9</v>
      </c>
    </row>
    <row r="107" spans="2:33" ht="14.25" customHeight="1">
      <c r="E107" s="31" t="s">
        <v>678</v>
      </c>
    </row>
    <row r="108" spans="2:33" ht="14.25" customHeight="1">
      <c r="E108" s="25" t="s">
        <v>679</v>
      </c>
      <c r="F108" s="7" t="s">
        <v>522</v>
      </c>
      <c r="K108" s="219">
        <f>IFERROR(Inputs_Dynamic!H16,0)</f>
        <v>-65.659867727999995</v>
      </c>
      <c r="L108" s="219">
        <f>IFERROR(Inputs_Dynamic!I16,0)</f>
        <v>-8.6598677279999947</v>
      </c>
      <c r="M108" s="219">
        <f>IFERROR(Inputs_Dynamic!J16,0)</f>
        <v>48.340132272000005</v>
      </c>
      <c r="N108" s="219">
        <f>IFERROR(Inputs_Dynamic!K16,0)</f>
        <v>162.34013227200001</v>
      </c>
      <c r="O108" s="219">
        <f>IFERROR(Inputs_Dynamic!L16,0)</f>
        <v>238.34013227200001</v>
      </c>
      <c r="P108" s="219">
        <f>IFERROR(Inputs_Dynamic!M16,0)</f>
        <v>257.34013227200001</v>
      </c>
      <c r="Q108" s="219">
        <f>IFERROR(Inputs_Dynamic!N16,0)</f>
        <v>257.34013227200001</v>
      </c>
      <c r="R108" s="219">
        <f>IFERROR(Inputs_Dynamic!O16,0)</f>
        <v>257.34013227200001</v>
      </c>
      <c r="S108" s="219">
        <f>IFERROR(Inputs_Dynamic!P16,0)</f>
        <v>219.34013227200001</v>
      </c>
      <c r="T108" s="219">
        <f>IFERROR(Inputs_Dynamic!Q16,0)</f>
        <v>124.34013227200001</v>
      </c>
      <c r="U108" s="219">
        <f>IFERROR(Inputs_Dynamic!R16,0)</f>
        <v>10.340132272000005</v>
      </c>
      <c r="V108" s="219">
        <f>IFERROR(Inputs_Dynamic!S16,0)</f>
        <v>-71.34227099200001</v>
      </c>
    </row>
    <row r="109" spans="2:33" ht="14.25" customHeight="1">
      <c r="E109" s="25" t="s">
        <v>680</v>
      </c>
      <c r="F109" s="7" t="s">
        <v>522</v>
      </c>
      <c r="K109" s="220">
        <f>0</f>
        <v>0</v>
      </c>
      <c r="L109" s="220">
        <f t="shared" ref="L109:V109" si="28">K115</f>
        <v>0</v>
      </c>
      <c r="M109" s="220">
        <f t="shared" si="28"/>
        <v>0</v>
      </c>
      <c r="N109" s="220">
        <f t="shared" si="28"/>
        <v>0</v>
      </c>
      <c r="O109" s="220">
        <f t="shared" si="28"/>
        <v>0</v>
      </c>
      <c r="P109" s="220">
        <f t="shared" si="28"/>
        <v>0</v>
      </c>
      <c r="Q109" s="220">
        <f t="shared" si="28"/>
        <v>0</v>
      </c>
      <c r="R109" s="220">
        <f t="shared" si="28"/>
        <v>0</v>
      </c>
      <c r="S109" s="220">
        <f t="shared" si="28"/>
        <v>0</v>
      </c>
      <c r="T109" s="220">
        <f t="shared" si="28"/>
        <v>0</v>
      </c>
      <c r="U109" s="220">
        <f t="shared" si="28"/>
        <v>0</v>
      </c>
      <c r="V109" s="220">
        <f t="shared" si="28"/>
        <v>0</v>
      </c>
    </row>
    <row r="110" spans="2:33" ht="14.25" customHeight="1">
      <c r="E110" s="25" t="s">
        <v>134</v>
      </c>
      <c r="F110" s="7" t="s">
        <v>522</v>
      </c>
      <c r="K110" s="220">
        <f t="shared" ref="K110:V110" si="29">K109*$G$105</f>
        <v>0</v>
      </c>
      <c r="L110" s="220">
        <f t="shared" si="29"/>
        <v>0</v>
      </c>
      <c r="M110" s="220">
        <f t="shared" si="29"/>
        <v>0</v>
      </c>
      <c r="N110" s="220">
        <f t="shared" si="29"/>
        <v>0</v>
      </c>
      <c r="O110" s="220">
        <f t="shared" si="29"/>
        <v>0</v>
      </c>
      <c r="P110" s="220">
        <f t="shared" si="29"/>
        <v>0</v>
      </c>
      <c r="Q110" s="220">
        <f t="shared" si="29"/>
        <v>0</v>
      </c>
      <c r="R110" s="220">
        <f t="shared" si="29"/>
        <v>0</v>
      </c>
      <c r="S110" s="220">
        <f t="shared" si="29"/>
        <v>0</v>
      </c>
      <c r="T110" s="220">
        <f t="shared" si="29"/>
        <v>0</v>
      </c>
      <c r="U110" s="220">
        <f t="shared" si="29"/>
        <v>0</v>
      </c>
      <c r="V110" s="220">
        <f t="shared" si="29"/>
        <v>0</v>
      </c>
    </row>
    <row r="111" spans="2:33" ht="14.25" customHeight="1">
      <c r="E111" s="25" t="s">
        <v>681</v>
      </c>
      <c r="F111" s="7" t="s">
        <v>522</v>
      </c>
      <c r="K111" s="220">
        <f t="shared" ref="K111:V111" si="30">K109-K110</f>
        <v>0</v>
      </c>
      <c r="L111" s="220">
        <f t="shared" si="30"/>
        <v>0</v>
      </c>
      <c r="M111" s="220">
        <f t="shared" si="30"/>
        <v>0</v>
      </c>
      <c r="N111" s="220">
        <f t="shared" si="30"/>
        <v>0</v>
      </c>
      <c r="O111" s="220">
        <f t="shared" si="30"/>
        <v>0</v>
      </c>
      <c r="P111" s="220">
        <f t="shared" si="30"/>
        <v>0</v>
      </c>
      <c r="Q111" s="220">
        <f t="shared" si="30"/>
        <v>0</v>
      </c>
      <c r="R111" s="220">
        <f t="shared" si="30"/>
        <v>0</v>
      </c>
      <c r="S111" s="220">
        <f t="shared" si="30"/>
        <v>0</v>
      </c>
      <c r="T111" s="220">
        <f t="shared" si="30"/>
        <v>0</v>
      </c>
      <c r="U111" s="220">
        <f t="shared" si="30"/>
        <v>0</v>
      </c>
      <c r="V111" s="220">
        <f t="shared" si="30"/>
        <v>0</v>
      </c>
    </row>
    <row r="112" spans="2:33" ht="14.25" customHeight="1">
      <c r="E112" s="25" t="s">
        <v>682</v>
      </c>
      <c r="F112" s="7" t="s">
        <v>522</v>
      </c>
      <c r="K112" s="220">
        <f t="shared" ref="K112:V112" si="31">IF(K108&gt;0,MIN(K108,$G$104,$G$103-K111),0)</f>
        <v>0</v>
      </c>
      <c r="L112" s="220">
        <f t="shared" si="31"/>
        <v>0</v>
      </c>
      <c r="M112" s="220">
        <f t="shared" si="31"/>
        <v>0</v>
      </c>
      <c r="N112" s="220">
        <f t="shared" si="31"/>
        <v>0</v>
      </c>
      <c r="O112" s="220">
        <f t="shared" si="31"/>
        <v>0</v>
      </c>
      <c r="P112" s="220">
        <f t="shared" si="31"/>
        <v>0</v>
      </c>
      <c r="Q112" s="220">
        <f t="shared" si="31"/>
        <v>0</v>
      </c>
      <c r="R112" s="220">
        <f t="shared" si="31"/>
        <v>0</v>
      </c>
      <c r="S112" s="220">
        <f t="shared" si="31"/>
        <v>0</v>
      </c>
      <c r="T112" s="220">
        <f t="shared" si="31"/>
        <v>0</v>
      </c>
      <c r="U112" s="220">
        <f t="shared" si="31"/>
        <v>0</v>
      </c>
      <c r="V112" s="220">
        <f t="shared" si="31"/>
        <v>0</v>
      </c>
    </row>
    <row r="113" spans="2:34" ht="14.25" customHeight="1">
      <c r="E113" s="25" t="s">
        <v>683</v>
      </c>
      <c r="F113" s="7" t="s">
        <v>522</v>
      </c>
      <c r="K113" s="220">
        <f t="shared" ref="K113:V113" si="32">IF(K108&lt;0,MIN(-K108,$G$104,K111),0)</f>
        <v>0</v>
      </c>
      <c r="L113" s="220">
        <f t="shared" si="32"/>
        <v>0</v>
      </c>
      <c r="M113" s="220">
        <f t="shared" si="32"/>
        <v>0</v>
      </c>
      <c r="N113" s="220">
        <f t="shared" si="32"/>
        <v>0</v>
      </c>
      <c r="O113" s="220">
        <f t="shared" si="32"/>
        <v>0</v>
      </c>
      <c r="P113" s="220">
        <f t="shared" si="32"/>
        <v>0</v>
      </c>
      <c r="Q113" s="220">
        <f t="shared" si="32"/>
        <v>0</v>
      </c>
      <c r="R113" s="220">
        <f t="shared" si="32"/>
        <v>0</v>
      </c>
      <c r="S113" s="220">
        <f t="shared" si="32"/>
        <v>0</v>
      </c>
      <c r="T113" s="220">
        <f t="shared" si="32"/>
        <v>0</v>
      </c>
      <c r="U113" s="220">
        <f t="shared" si="32"/>
        <v>0</v>
      </c>
      <c r="V113" s="220">
        <f t="shared" si="32"/>
        <v>0</v>
      </c>
    </row>
    <row r="114" spans="2:34" ht="14.25" customHeight="1">
      <c r="E114" s="25" t="s">
        <v>684</v>
      </c>
      <c r="F114" s="7" t="s">
        <v>522</v>
      </c>
      <c r="K114" s="221">
        <f t="shared" ref="K114:V114" si="33">K113*$G$106</f>
        <v>0</v>
      </c>
      <c r="L114" s="221">
        <f t="shared" si="33"/>
        <v>0</v>
      </c>
      <c r="M114" s="221">
        <f t="shared" si="33"/>
        <v>0</v>
      </c>
      <c r="N114" s="221">
        <f t="shared" si="33"/>
        <v>0</v>
      </c>
      <c r="O114" s="221">
        <f t="shared" si="33"/>
        <v>0</v>
      </c>
      <c r="P114" s="221">
        <f t="shared" si="33"/>
        <v>0</v>
      </c>
      <c r="Q114" s="221">
        <f t="shared" si="33"/>
        <v>0</v>
      </c>
      <c r="R114" s="221">
        <f t="shared" si="33"/>
        <v>0</v>
      </c>
      <c r="S114" s="221">
        <f t="shared" si="33"/>
        <v>0</v>
      </c>
      <c r="T114" s="221">
        <f t="shared" si="33"/>
        <v>0</v>
      </c>
      <c r="U114" s="221">
        <f t="shared" si="33"/>
        <v>0</v>
      </c>
      <c r="V114" s="221">
        <f t="shared" si="33"/>
        <v>0</v>
      </c>
    </row>
    <row r="115" spans="2:34" ht="14.25" customHeight="1">
      <c r="E115" s="112" t="s">
        <v>685</v>
      </c>
      <c r="F115" s="126" t="s">
        <v>522</v>
      </c>
      <c r="G115" s="127"/>
      <c r="H115" s="108"/>
      <c r="I115" s="108"/>
      <c r="J115" s="108"/>
      <c r="K115" s="222">
        <f t="shared" ref="K115:V115" si="34">K111+K112-K113</f>
        <v>0</v>
      </c>
      <c r="L115" s="222">
        <f t="shared" si="34"/>
        <v>0</v>
      </c>
      <c r="M115" s="223">
        <f t="shared" si="34"/>
        <v>0</v>
      </c>
      <c r="N115" s="223">
        <f t="shared" si="34"/>
        <v>0</v>
      </c>
      <c r="O115" s="223">
        <f t="shared" si="34"/>
        <v>0</v>
      </c>
      <c r="P115" s="223">
        <f t="shared" si="34"/>
        <v>0</v>
      </c>
      <c r="Q115" s="223">
        <f t="shared" si="34"/>
        <v>0</v>
      </c>
      <c r="R115" s="223">
        <f t="shared" si="34"/>
        <v>0</v>
      </c>
      <c r="S115" s="223">
        <f t="shared" si="34"/>
        <v>0</v>
      </c>
      <c r="T115" s="223">
        <f t="shared" si="34"/>
        <v>0</v>
      </c>
      <c r="U115" s="223">
        <f t="shared" si="34"/>
        <v>0</v>
      </c>
      <c r="V115" s="223">
        <f t="shared" si="34"/>
        <v>0</v>
      </c>
      <c r="W115" s="108"/>
      <c r="X115" s="108"/>
      <c r="Y115" s="108"/>
      <c r="Z115" s="108"/>
      <c r="AA115" s="108"/>
      <c r="AB115" s="108"/>
      <c r="AC115" s="108"/>
      <c r="AD115" s="108"/>
      <c r="AE115" s="108"/>
      <c r="AF115" s="108"/>
      <c r="AG115" s="224"/>
    </row>
    <row r="116" spans="2:34">
      <c r="E116" s="393" t="s">
        <v>686</v>
      </c>
      <c r="G116" s="228">
        <f>IF(Inputs!$I$19="Yes",IF(Inputs!$I$191&gt;0,Inputs!$I$191,$G$117*Inputs!$I$190),0)</f>
        <v>0</v>
      </c>
    </row>
    <row r="117" spans="2:34" ht="14.25" customHeight="1">
      <c r="E117" s="88" t="s">
        <v>687</v>
      </c>
      <c r="F117" s="7" t="s">
        <v>71</v>
      </c>
      <c r="G117" s="228">
        <f>$G$103*Inputs!$I$65*$G$106+Inputs!$I$189</f>
        <v>14</v>
      </c>
      <c r="K117" s="111"/>
    </row>
    <row r="118" spans="2:34">
      <c r="E118" s="88" t="s">
        <v>688</v>
      </c>
      <c r="G118" s="228">
        <f>IF((K114+L114+M114+N114+O114+P114+Q114+R114+S114+T114+U114+V114)&gt;=$G$117*0.5,0,1)</f>
        <v>1</v>
      </c>
    </row>
    <row r="119" spans="2:34" ht="14.25" customHeight="1">
      <c r="B119" s="40"/>
      <c r="C119" s="14" t="s">
        <v>689</v>
      </c>
      <c r="D119" s="40"/>
      <c r="E119" s="40"/>
      <c r="F119" s="40"/>
      <c r="G119" s="40"/>
      <c r="H119" s="99">
        <f>IF(SUMPRODUCT(ABS(K127:AG127-IFERROR(K126:AG126/$G$123,0)))&lt;0.01,0,1)</f>
        <v>0</v>
      </c>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row>
    <row r="121" spans="2:34" ht="14.25" customHeight="1">
      <c r="E121" s="25" t="s">
        <v>251</v>
      </c>
      <c r="F121" s="7" t="s">
        <v>54</v>
      </c>
      <c r="G121" s="248" t="str">
        <f>Inputs!$I$159</f>
        <v>No</v>
      </c>
    </row>
    <row r="122" spans="2:34" ht="14.25" customHeight="1">
      <c r="E122" s="25" t="s">
        <v>255</v>
      </c>
      <c r="F122" s="7" t="s">
        <v>71</v>
      </c>
      <c r="G122" s="246">
        <f>Inputs!$I$161</f>
        <v>800</v>
      </c>
    </row>
    <row r="123" spans="2:34" ht="14.25" customHeight="1">
      <c r="E123" s="25" t="s">
        <v>257</v>
      </c>
      <c r="F123" s="7" t="s">
        <v>226</v>
      </c>
      <c r="G123" s="249">
        <f>Inputs!$I$162</f>
        <v>0.55000000000000004</v>
      </c>
    </row>
    <row r="124" spans="2:34" ht="14.25" customHeight="1">
      <c r="E124" s="25" t="s">
        <v>262</v>
      </c>
      <c r="F124" s="7" t="s">
        <v>112</v>
      </c>
      <c r="G124" s="246">
        <f>Inputs!$I$164</f>
        <v>500</v>
      </c>
    </row>
    <row r="125" spans="2:34" ht="14.25" customHeight="1">
      <c r="E125" s="25" t="s">
        <v>690</v>
      </c>
      <c r="F125" s="7" t="s">
        <v>522</v>
      </c>
      <c r="K125" s="219">
        <f t="shared" ref="K125:AG125" si="35">$G$124*8760/1000*K11</f>
        <v>0</v>
      </c>
      <c r="L125" s="219">
        <f t="shared" si="35"/>
        <v>0</v>
      </c>
      <c r="M125" s="219">
        <f t="shared" si="35"/>
        <v>0</v>
      </c>
      <c r="N125" s="219">
        <f t="shared" si="35"/>
        <v>4380</v>
      </c>
      <c r="O125" s="219">
        <f t="shared" si="35"/>
        <v>4380</v>
      </c>
      <c r="P125" s="219">
        <f t="shared" si="35"/>
        <v>4380</v>
      </c>
      <c r="Q125" s="219">
        <f t="shared" si="35"/>
        <v>4380</v>
      </c>
      <c r="R125" s="219">
        <f t="shared" si="35"/>
        <v>4380</v>
      </c>
      <c r="S125" s="219">
        <f t="shared" si="35"/>
        <v>4380</v>
      </c>
      <c r="T125" s="219">
        <f t="shared" si="35"/>
        <v>4380</v>
      </c>
      <c r="U125" s="219">
        <f t="shared" si="35"/>
        <v>4380</v>
      </c>
      <c r="V125" s="219">
        <f t="shared" si="35"/>
        <v>4380</v>
      </c>
      <c r="W125" s="219">
        <f t="shared" si="35"/>
        <v>4380</v>
      </c>
      <c r="X125" s="219">
        <f t="shared" si="35"/>
        <v>4380</v>
      </c>
      <c r="Y125" s="219">
        <f t="shared" si="35"/>
        <v>4380</v>
      </c>
      <c r="Z125" s="219">
        <f t="shared" si="35"/>
        <v>4380</v>
      </c>
      <c r="AA125" s="219">
        <f t="shared" si="35"/>
        <v>4380</v>
      </c>
      <c r="AB125" s="219">
        <f t="shared" si="35"/>
        <v>4380</v>
      </c>
      <c r="AC125" s="219">
        <f t="shared" si="35"/>
        <v>4380</v>
      </c>
      <c r="AD125" s="219">
        <f t="shared" si="35"/>
        <v>4380</v>
      </c>
      <c r="AE125" s="219">
        <f t="shared" si="35"/>
        <v>4380</v>
      </c>
      <c r="AF125" s="219">
        <f t="shared" si="35"/>
        <v>4380</v>
      </c>
      <c r="AG125" s="219">
        <f t="shared" si="35"/>
        <v>4380</v>
      </c>
      <c r="AH125" s="172"/>
    </row>
    <row r="126" spans="2:34" ht="14.25" customHeight="1">
      <c r="E126" s="11" t="s">
        <v>691</v>
      </c>
      <c r="F126" s="7" t="s">
        <v>522</v>
      </c>
      <c r="I126" s="109">
        <f>SUM(K126:AG126)</f>
        <v>0</v>
      </c>
      <c r="K126" s="219">
        <f>IF(Inputs!$I$159="Yes",MIN($G$122,$G$129*8760/1000,K125,K22*$G$128*$G$123)*K11,0)</f>
        <v>0</v>
      </c>
      <c r="L126" s="219">
        <f>IF(Inputs!$I$159="Yes",MIN($G$122,$G$129*8760/1000,L125,L22*$G$128*$G$123)*L11,0)</f>
        <v>0</v>
      </c>
      <c r="M126" s="219">
        <f>IF(Inputs!$I$159="Yes",MIN($G$122,$G$129*8760/1000,M125,M22*$G$128*$G$123)*M11,0)</f>
        <v>0</v>
      </c>
      <c r="N126" s="219">
        <f>IF(Inputs!$I$159="Yes",MIN($G$122,$G$129*8760/1000,N125,N22*$G$128*$G$123)*N11,0)</f>
        <v>0</v>
      </c>
      <c r="O126" s="219">
        <f>IF(Inputs!$I$159="Yes",MIN($G$122,$G$129*8760/1000,O125,O22*$G$128*$G$123)*O11,0)</f>
        <v>0</v>
      </c>
      <c r="P126" s="219">
        <f>IF(Inputs!$I$159="Yes",MIN($G$122,$G$129*8760/1000,P125,P22*$G$128*$G$123)*P11,0)</f>
        <v>0</v>
      </c>
      <c r="Q126" s="219">
        <f>IF(Inputs!$I$159="Yes",MIN($G$122,$G$129*8760/1000,Q125,Q22*$G$128*$G$123)*Q11,0)</f>
        <v>0</v>
      </c>
      <c r="R126" s="219">
        <f>IF(Inputs!$I$159="Yes",MIN($G$122,$G$129*8760/1000,R125,R22*$G$128*$G$123)*R11,0)</f>
        <v>0</v>
      </c>
      <c r="S126" s="219">
        <f>IF(Inputs!$I$159="Yes",MIN($G$122,$G$129*8760/1000,S125,S22*$G$128*$G$123)*S11,0)</f>
        <v>0</v>
      </c>
      <c r="T126" s="219">
        <f>IF(Inputs!$I$159="Yes",MIN($G$122,$G$129*8760/1000,T125,T22*$G$128*$G$123)*T11,0)</f>
        <v>0</v>
      </c>
      <c r="U126" s="219">
        <f>IF(Inputs!$I$159="Yes",MIN($G$122,$G$129*8760/1000,U125,U22*$G$128*$G$123)*U11,0)</f>
        <v>0</v>
      </c>
      <c r="V126" s="219">
        <f>IF(Inputs!$I$159="Yes",MIN($G$122,$G$129*8760/1000,V125,V22*$G$128*$G$123)*V11,0)</f>
        <v>0</v>
      </c>
      <c r="W126" s="219">
        <f>IF(Inputs!$I$159="Yes",MIN($G$122,$G$129*8760/1000,W125,W22*$G$128*$G$123)*W11,0)</f>
        <v>0</v>
      </c>
      <c r="X126" s="219">
        <f>IF(Inputs!$I$159="Yes",MIN($G$122,$G$129*8760/1000,X125,X22*$G$128*$G$123)*X11,0)</f>
        <v>0</v>
      </c>
      <c r="Y126" s="219">
        <f>IF(Inputs!$I$159="Yes",MIN($G$122,$G$129*8760/1000,Y125,Y22*$G$128*$G$123)*Y11,0)</f>
        <v>0</v>
      </c>
      <c r="Z126" s="219">
        <f>IF(Inputs!$I$159="Yes",MIN($G$122,$G$129*8760/1000,Z125,Z22*$G$128*$G$123)*Z11,0)</f>
        <v>0</v>
      </c>
      <c r="AA126" s="219">
        <f>IF(Inputs!$I$159="Yes",MIN($G$122,$G$129*8760/1000,AA125,AA22*$G$128*$G$123)*AA11,0)</f>
        <v>0</v>
      </c>
      <c r="AB126" s="219">
        <f>IF(Inputs!$I$159="Yes",MIN($G$122,$G$129*8760/1000,AB125,AB22*$G$128*$G$123)*AB11,0)</f>
        <v>0</v>
      </c>
      <c r="AC126" s="219">
        <f>IF(Inputs!$I$159="Yes",MIN($G$122,$G$129*8760/1000,AC125,AC22*$G$128*$G$123)*AC11,0)</f>
        <v>0</v>
      </c>
      <c r="AD126" s="219">
        <f>IF(Inputs!$I$159="Yes",MIN($G$122,$G$129*8760/1000,AD125,AD22*$G$128*$G$123)*AD11,0)</f>
        <v>0</v>
      </c>
      <c r="AE126" s="219">
        <f>IF(Inputs!$I$159="Yes",MIN($G$122,$G$129*8760/1000,AE125,AE22*$G$128*$G$123)*AE11,0)</f>
        <v>0</v>
      </c>
      <c r="AF126" s="219">
        <f>IF(Inputs!$I$159="Yes",MIN($G$122,$G$129*8760/1000,AF125,AF22*$G$128*$G$123)*AF11,0)</f>
        <v>0</v>
      </c>
      <c r="AG126" s="219">
        <f>IF(Inputs!$I$159="Yes",MIN($G$122,$G$129*8760/1000,AG125,AG22*$G$128*$G$123)*AG11,0)</f>
        <v>0</v>
      </c>
      <c r="AH126" s="172"/>
    </row>
    <row r="127" spans="2:34" ht="14.25" customHeight="1">
      <c r="E127" s="25" t="s">
        <v>692</v>
      </c>
      <c r="F127" s="7" t="s">
        <v>522</v>
      </c>
      <c r="I127" s="109">
        <f>SUM(K127:AG127)</f>
        <v>0</v>
      </c>
      <c r="K127" s="219">
        <f t="shared" ref="K127:AG127" si="36">IFERROR(K126/$G$123,0)</f>
        <v>0</v>
      </c>
      <c r="L127" s="219">
        <f t="shared" si="36"/>
        <v>0</v>
      </c>
      <c r="M127" s="219">
        <f t="shared" si="36"/>
        <v>0</v>
      </c>
      <c r="N127" s="219">
        <f t="shared" si="36"/>
        <v>0</v>
      </c>
      <c r="O127" s="219">
        <f t="shared" si="36"/>
        <v>0</v>
      </c>
      <c r="P127" s="219">
        <f t="shared" si="36"/>
        <v>0</v>
      </c>
      <c r="Q127" s="219">
        <f t="shared" si="36"/>
        <v>0</v>
      </c>
      <c r="R127" s="219">
        <f t="shared" si="36"/>
        <v>0</v>
      </c>
      <c r="S127" s="219">
        <f t="shared" si="36"/>
        <v>0</v>
      </c>
      <c r="T127" s="219">
        <f t="shared" si="36"/>
        <v>0</v>
      </c>
      <c r="U127" s="219">
        <f t="shared" si="36"/>
        <v>0</v>
      </c>
      <c r="V127" s="219">
        <f t="shared" si="36"/>
        <v>0</v>
      </c>
      <c r="W127" s="219">
        <f t="shared" si="36"/>
        <v>0</v>
      </c>
      <c r="X127" s="219">
        <f t="shared" si="36"/>
        <v>0</v>
      </c>
      <c r="Y127" s="219">
        <f t="shared" si="36"/>
        <v>0</v>
      </c>
      <c r="Z127" s="219">
        <f t="shared" si="36"/>
        <v>0</v>
      </c>
      <c r="AA127" s="219">
        <f t="shared" si="36"/>
        <v>0</v>
      </c>
      <c r="AB127" s="219">
        <f t="shared" si="36"/>
        <v>0</v>
      </c>
      <c r="AC127" s="219">
        <f t="shared" si="36"/>
        <v>0</v>
      </c>
      <c r="AD127" s="219">
        <f t="shared" si="36"/>
        <v>0</v>
      </c>
      <c r="AE127" s="219">
        <f t="shared" si="36"/>
        <v>0</v>
      </c>
      <c r="AF127" s="219">
        <f t="shared" si="36"/>
        <v>0</v>
      </c>
      <c r="AG127" s="219">
        <f t="shared" si="36"/>
        <v>0</v>
      </c>
      <c r="AH127" s="172"/>
    </row>
    <row r="128" spans="2:34" ht="14.25" customHeight="1">
      <c r="E128" s="25" t="s">
        <v>265</v>
      </c>
      <c r="F128" s="7" t="s">
        <v>115</v>
      </c>
      <c r="G128" s="229">
        <f>Inputs!$I$166</f>
        <v>0</v>
      </c>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row>
    <row r="129" spans="5:33" ht="14.25" customHeight="1">
      <c r="E129" t="s">
        <v>693</v>
      </c>
      <c r="G129" s="230">
        <f>Inputs!$I$160</f>
        <v>500</v>
      </c>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row>
  </sheetData>
  <conditionalFormatting sqref="K10:AG11">
    <cfRule type="cellIs" dxfId="5" priority="1" operator="equal">
      <formula>1</formula>
    </cfRule>
  </conditionalFormatting>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H91"/>
  <sheetViews>
    <sheetView showGridLines="0" zoomScale="70" zoomScaleNormal="70" workbookViewId="0">
      <pane xSplit="10" ySplit="14" topLeftCell="K15" activePane="bottomRight" state="frozen"/>
      <selection pane="bottomRight" activeCell="H19" sqref="H19"/>
      <selection pane="bottomLeft" activeCell="A15" sqref="A15"/>
      <selection pane="topRight" activeCell="K1" sqref="K1"/>
    </sheetView>
  </sheetViews>
  <sheetFormatPr defaultColWidth="8.7109375" defaultRowHeight="14.25"/>
  <cols>
    <col min="1" max="1" width="2.85546875" customWidth="1"/>
    <col min="2" max="2" width="3.42578125" customWidth="1"/>
    <col min="3" max="3" width="6.7109375" customWidth="1"/>
    <col min="4" max="4" width="3.7109375" customWidth="1"/>
    <col min="5" max="5" width="44.7109375" customWidth="1"/>
    <col min="6" max="6" width="13.85546875" customWidth="1"/>
    <col min="7" max="7" width="15.85546875" customWidth="1"/>
    <col min="8" max="8" width="9" customWidth="1"/>
    <col min="9" max="9" width="13" customWidth="1"/>
    <col min="10" max="10" width="20" customWidth="1"/>
    <col min="11" max="33" width="11.140625" customWidth="1"/>
    <col min="34" max="34" width="1.5703125" customWidth="1"/>
  </cols>
  <sheetData>
    <row r="1" spans="2:34" ht="15" customHeight="1">
      <c r="AH1" s="128"/>
    </row>
    <row r="2" spans="2:34" ht="15" customHeight="1">
      <c r="C2" s="318"/>
      <c r="E2" s="11"/>
      <c r="F2" s="11"/>
      <c r="G2" s="11" t="s">
        <v>615</v>
      </c>
      <c r="H2" s="205">
        <f>SUM(H14:H91)+G23+G43+G66</f>
        <v>0</v>
      </c>
      <c r="K2" s="34"/>
      <c r="L2" s="34"/>
      <c r="M2" s="34"/>
      <c r="N2" s="34"/>
      <c r="O2" s="34"/>
      <c r="P2" s="34"/>
      <c r="Q2" s="34"/>
      <c r="R2" s="34"/>
      <c r="S2" s="34"/>
      <c r="T2" s="34"/>
      <c r="U2" s="34"/>
      <c r="V2" s="34"/>
      <c r="W2" s="34"/>
      <c r="X2" s="34"/>
      <c r="Y2" s="34"/>
      <c r="Z2" s="34"/>
      <c r="AA2" s="34"/>
      <c r="AB2" s="34"/>
      <c r="AC2" s="34"/>
      <c r="AD2" s="34"/>
      <c r="AE2" s="34"/>
      <c r="AF2" s="34"/>
      <c r="AG2" s="34"/>
      <c r="AH2" s="134"/>
    </row>
    <row r="3" spans="2:34" ht="15" customHeight="1">
      <c r="C3" s="88" t="s">
        <v>567</v>
      </c>
      <c r="D3" s="317" t="str">
        <f>'Control Panel'!D7&amp;":"&amp;'Control Panel'!D6</f>
        <v>Cascade geothermal:Base</v>
      </c>
      <c r="E3" s="11"/>
      <c r="J3" s="11" t="s">
        <v>568</v>
      </c>
      <c r="K3" s="91">
        <f>Dates!O2</f>
        <v>46388</v>
      </c>
      <c r="L3" s="92">
        <f>Dates!P2</f>
        <v>46753</v>
      </c>
      <c r="M3" s="92">
        <f>Dates!Q2</f>
        <v>47119</v>
      </c>
      <c r="N3" s="92">
        <f>Dates!R2</f>
        <v>47484</v>
      </c>
      <c r="O3" s="92">
        <f>Dates!S2</f>
        <v>47849</v>
      </c>
      <c r="P3" s="92">
        <f>Dates!T2</f>
        <v>48214</v>
      </c>
      <c r="Q3" s="92">
        <f>Dates!U2</f>
        <v>48580</v>
      </c>
      <c r="R3" s="92">
        <f>Dates!V2</f>
        <v>48945</v>
      </c>
      <c r="S3" s="92">
        <f>Dates!W2</f>
        <v>49310</v>
      </c>
      <c r="T3" s="92">
        <f>Dates!X2</f>
        <v>49675</v>
      </c>
      <c r="U3" s="92">
        <f>Dates!Y2</f>
        <v>50041</v>
      </c>
      <c r="V3" s="92">
        <f>Dates!Z2</f>
        <v>50406</v>
      </c>
      <c r="W3" s="92">
        <f>Dates!AA2</f>
        <v>50771</v>
      </c>
      <c r="X3" s="92">
        <f>Dates!AB2</f>
        <v>51136</v>
      </c>
      <c r="Y3" s="92">
        <f>Dates!AC2</f>
        <v>51502</v>
      </c>
      <c r="Z3" s="92">
        <f>Dates!AD2</f>
        <v>51867</v>
      </c>
      <c r="AA3" s="92">
        <f>Dates!AE2</f>
        <v>52232</v>
      </c>
      <c r="AB3" s="92">
        <f>Dates!AF2</f>
        <v>52597</v>
      </c>
      <c r="AC3" s="92">
        <f>Dates!AG2</f>
        <v>52963</v>
      </c>
      <c r="AD3" s="92">
        <f>Dates!AH2</f>
        <v>53328</v>
      </c>
      <c r="AE3" s="92">
        <f>Dates!AI2</f>
        <v>53693</v>
      </c>
      <c r="AF3" s="92">
        <f>Dates!AJ2</f>
        <v>54058</v>
      </c>
      <c r="AG3" s="250">
        <f>Dates!AK2</f>
        <v>54424</v>
      </c>
      <c r="AH3" s="258"/>
    </row>
    <row r="4" spans="2:34" ht="15" customHeight="1">
      <c r="E4" s="11"/>
      <c r="J4" s="11" t="s">
        <v>569</v>
      </c>
      <c r="K4" s="259">
        <f>Dates!O3</f>
        <v>46752</v>
      </c>
      <c r="L4" s="32">
        <f>Dates!P3</f>
        <v>47118</v>
      </c>
      <c r="M4" s="32">
        <f>Dates!Q3</f>
        <v>47483</v>
      </c>
      <c r="N4" s="32">
        <f>Dates!R3</f>
        <v>47848</v>
      </c>
      <c r="O4" s="32">
        <f>Dates!S3</f>
        <v>48213</v>
      </c>
      <c r="P4" s="32">
        <f>Dates!T3</f>
        <v>48579</v>
      </c>
      <c r="Q4" s="32">
        <f>Dates!U3</f>
        <v>48944</v>
      </c>
      <c r="R4" s="32">
        <f>Dates!V3</f>
        <v>49309</v>
      </c>
      <c r="S4" s="32">
        <f>Dates!W3</f>
        <v>49674</v>
      </c>
      <c r="T4" s="32">
        <f>Dates!X3</f>
        <v>50040</v>
      </c>
      <c r="U4" s="32">
        <f>Dates!Y3</f>
        <v>50405</v>
      </c>
      <c r="V4" s="32">
        <f>Dates!Z3</f>
        <v>50770</v>
      </c>
      <c r="W4" s="32">
        <f>Dates!AA3</f>
        <v>51135</v>
      </c>
      <c r="X4" s="32">
        <f>Dates!AB3</f>
        <v>51501</v>
      </c>
      <c r="Y4" s="32">
        <f>Dates!AC3</f>
        <v>51866</v>
      </c>
      <c r="Z4" s="32">
        <f>Dates!AD3</f>
        <v>52231</v>
      </c>
      <c r="AA4" s="32">
        <f>Dates!AE3</f>
        <v>52596</v>
      </c>
      <c r="AB4" s="32">
        <f>Dates!AF3</f>
        <v>52962</v>
      </c>
      <c r="AC4" s="32">
        <f>Dates!AG3</f>
        <v>53327</v>
      </c>
      <c r="AD4" s="32">
        <f>Dates!AH3</f>
        <v>53692</v>
      </c>
      <c r="AE4" s="32">
        <f>Dates!AI3</f>
        <v>54057</v>
      </c>
      <c r="AF4" s="32">
        <f>Dates!AJ3</f>
        <v>54423</v>
      </c>
      <c r="AG4" s="260">
        <f>Dates!AK3</f>
        <v>54788</v>
      </c>
      <c r="AH4" s="258"/>
    </row>
    <row r="5" spans="2:34" ht="15" customHeight="1">
      <c r="E5" s="11"/>
      <c r="J5" s="11" t="s">
        <v>101</v>
      </c>
      <c r="K5" s="95">
        <f>Dates!O4</f>
        <v>2027</v>
      </c>
      <c r="L5" s="96">
        <f>Dates!P4</f>
        <v>2028</v>
      </c>
      <c r="M5" s="96">
        <f>Dates!Q4</f>
        <v>2029</v>
      </c>
      <c r="N5" s="96">
        <f>Dates!R4</f>
        <v>2030</v>
      </c>
      <c r="O5" s="96">
        <f>Dates!S4</f>
        <v>2031</v>
      </c>
      <c r="P5" s="96">
        <f>Dates!T4</f>
        <v>2032</v>
      </c>
      <c r="Q5" s="96">
        <f>Dates!U4</f>
        <v>2033</v>
      </c>
      <c r="R5" s="96">
        <f>Dates!V4</f>
        <v>2034</v>
      </c>
      <c r="S5" s="96">
        <f>Dates!W4</f>
        <v>2035</v>
      </c>
      <c r="T5" s="96">
        <f>Dates!X4</f>
        <v>2036</v>
      </c>
      <c r="U5" s="96">
        <f>Dates!Y4</f>
        <v>2037</v>
      </c>
      <c r="V5" s="96">
        <f>Dates!Z4</f>
        <v>2038</v>
      </c>
      <c r="W5" s="96">
        <f>Dates!AA4</f>
        <v>2039</v>
      </c>
      <c r="X5" s="96">
        <f>Dates!AB4</f>
        <v>2040</v>
      </c>
      <c r="Y5" s="96">
        <f>Dates!AC4</f>
        <v>2041</v>
      </c>
      <c r="Z5" s="96">
        <f>Dates!AD4</f>
        <v>2042</v>
      </c>
      <c r="AA5" s="96">
        <f>Dates!AE4</f>
        <v>2043</v>
      </c>
      <c r="AB5" s="96">
        <f>Dates!AF4</f>
        <v>2044</v>
      </c>
      <c r="AC5" s="96">
        <f>Dates!AG4</f>
        <v>2045</v>
      </c>
      <c r="AD5" s="96">
        <f>Dates!AH4</f>
        <v>2046</v>
      </c>
      <c r="AE5" s="96">
        <f>Dates!AI4</f>
        <v>2047</v>
      </c>
      <c r="AF5" s="96">
        <f>Dates!AJ4</f>
        <v>2048</v>
      </c>
      <c r="AG5" s="261">
        <f>Dates!AK4</f>
        <v>2049</v>
      </c>
      <c r="AH5" s="258"/>
    </row>
    <row r="6" spans="2:34" ht="15" customHeight="1">
      <c r="E6" s="11"/>
      <c r="J6" s="11" t="s">
        <v>570</v>
      </c>
      <c r="K6" s="97">
        <f>Dates!O8</f>
        <v>0</v>
      </c>
      <c r="L6" s="98">
        <f>Dates!P8</f>
        <v>1</v>
      </c>
      <c r="M6" s="98">
        <f>Dates!Q8</f>
        <v>2</v>
      </c>
      <c r="N6" s="98">
        <f>Dates!R8</f>
        <v>3</v>
      </c>
      <c r="O6" s="98">
        <f>Dates!S8</f>
        <v>4</v>
      </c>
      <c r="P6" s="98">
        <f>Dates!T8</f>
        <v>5</v>
      </c>
      <c r="Q6" s="98">
        <f>Dates!U8</f>
        <v>6</v>
      </c>
      <c r="R6" s="98">
        <f>Dates!V8</f>
        <v>7</v>
      </c>
      <c r="S6" s="98">
        <f>Dates!W8</f>
        <v>8</v>
      </c>
      <c r="T6" s="98">
        <f>Dates!X8</f>
        <v>9</v>
      </c>
      <c r="U6" s="98">
        <f>Dates!Y8</f>
        <v>10</v>
      </c>
      <c r="V6" s="98">
        <f>Dates!Z8</f>
        <v>11</v>
      </c>
      <c r="W6" s="98">
        <f>Dates!AA8</f>
        <v>12</v>
      </c>
      <c r="X6" s="98">
        <f>Dates!AB8</f>
        <v>13</v>
      </c>
      <c r="Y6" s="98">
        <f>Dates!AC8</f>
        <v>14</v>
      </c>
      <c r="Z6" s="98">
        <f>Dates!AD8</f>
        <v>15</v>
      </c>
      <c r="AA6" s="98">
        <f>Dates!AE8</f>
        <v>16</v>
      </c>
      <c r="AB6" s="98">
        <f>Dates!AF8</f>
        <v>17</v>
      </c>
      <c r="AC6" s="98">
        <f>Dates!AG8</f>
        <v>18</v>
      </c>
      <c r="AD6" s="98">
        <f>Dates!AH8</f>
        <v>19</v>
      </c>
      <c r="AE6" s="98">
        <f>Dates!AI8</f>
        <v>20</v>
      </c>
      <c r="AF6" s="98">
        <f>Dates!AJ8</f>
        <v>21</v>
      </c>
      <c r="AG6" s="252">
        <f>Dates!AK8</f>
        <v>22</v>
      </c>
      <c r="AH6" s="258"/>
    </row>
    <row r="7" spans="2:34" ht="15" customHeight="1">
      <c r="K7" s="34"/>
      <c r="L7" s="34"/>
      <c r="M7" s="34"/>
      <c r="N7" s="34"/>
      <c r="O7" s="34"/>
      <c r="P7" s="34"/>
      <c r="Q7" s="34"/>
      <c r="R7" s="34"/>
      <c r="S7" s="34"/>
      <c r="T7" s="34"/>
      <c r="U7" s="34"/>
      <c r="V7" s="34"/>
      <c r="W7" s="34"/>
      <c r="X7" s="34"/>
      <c r="Y7" s="34"/>
      <c r="Z7" s="34"/>
      <c r="AA7" s="34"/>
      <c r="AB7" s="34"/>
      <c r="AC7" s="34"/>
      <c r="AD7" s="34"/>
      <c r="AE7" s="34"/>
      <c r="AF7" s="34"/>
      <c r="AG7" s="34"/>
      <c r="AH7" s="134"/>
    </row>
    <row r="8" spans="2:34" ht="15" customHeight="1">
      <c r="B8" s="40"/>
      <c r="C8" s="14" t="s">
        <v>571</v>
      </c>
      <c r="D8" s="40"/>
      <c r="E8" s="40"/>
      <c r="F8" s="40"/>
      <c r="G8" s="40"/>
      <c r="H8" s="40"/>
      <c r="I8" s="40"/>
      <c r="J8" s="40"/>
      <c r="K8" s="40"/>
      <c r="L8" s="135"/>
      <c r="M8" s="135"/>
      <c r="N8" s="135"/>
      <c r="O8" s="135"/>
      <c r="P8" s="135"/>
      <c r="Q8" s="135"/>
      <c r="R8" s="135"/>
      <c r="S8" s="135"/>
      <c r="T8" s="135"/>
      <c r="U8" s="135"/>
      <c r="V8" s="135"/>
      <c r="W8" s="135"/>
      <c r="X8" s="135"/>
      <c r="Y8" s="135"/>
      <c r="Z8" s="135"/>
      <c r="AA8" s="135"/>
      <c r="AB8" s="135"/>
      <c r="AC8" s="135"/>
      <c r="AD8" s="135"/>
      <c r="AE8" s="135"/>
      <c r="AF8" s="135"/>
      <c r="AG8" s="135"/>
      <c r="AH8" s="134"/>
    </row>
    <row r="9" spans="2:34" ht="15" customHeight="1">
      <c r="K9" s="34"/>
      <c r="L9" s="34"/>
      <c r="M9" s="34"/>
      <c r="N9" s="34"/>
      <c r="O9" s="34"/>
      <c r="P9" s="34"/>
      <c r="Q9" s="34"/>
      <c r="R9" s="34"/>
      <c r="S9" s="34"/>
      <c r="T9" s="34"/>
      <c r="U9" s="34"/>
      <c r="V9" s="34"/>
      <c r="W9" s="34"/>
      <c r="X9" s="34"/>
      <c r="Y9" s="34"/>
      <c r="Z9" s="34"/>
      <c r="AA9" s="34"/>
      <c r="AB9" s="34"/>
      <c r="AC9" s="34"/>
      <c r="AD9" s="34"/>
      <c r="AE9" s="34"/>
      <c r="AF9" s="34"/>
      <c r="AG9" s="34"/>
      <c r="AH9" s="134"/>
    </row>
    <row r="10" spans="2:34" ht="15" customHeight="1">
      <c r="E10" s="25" t="s">
        <v>556</v>
      </c>
      <c r="K10" s="38">
        <f>Dates!O16</f>
        <v>0</v>
      </c>
      <c r="L10" s="38">
        <f>Dates!P16</f>
        <v>1</v>
      </c>
      <c r="M10" s="38">
        <f>Dates!Q16</f>
        <v>1</v>
      </c>
      <c r="N10" s="38">
        <f>Dates!R16</f>
        <v>0</v>
      </c>
      <c r="O10" s="38">
        <f>Dates!S16</f>
        <v>0</v>
      </c>
      <c r="P10" s="38">
        <f>Dates!T16</f>
        <v>0</v>
      </c>
      <c r="Q10" s="38">
        <f>Dates!U16</f>
        <v>0</v>
      </c>
      <c r="R10" s="38">
        <f>Dates!V16</f>
        <v>0</v>
      </c>
      <c r="S10" s="38">
        <f>Dates!W16</f>
        <v>0</v>
      </c>
      <c r="T10" s="38">
        <f>Dates!X16</f>
        <v>0</v>
      </c>
      <c r="U10" s="38">
        <f>Dates!Y16</f>
        <v>0</v>
      </c>
      <c r="V10" s="38">
        <f>Dates!Z16</f>
        <v>0</v>
      </c>
      <c r="W10" s="38">
        <f>Dates!AA16</f>
        <v>0</v>
      </c>
      <c r="X10" s="38">
        <f>Dates!AB16</f>
        <v>0</v>
      </c>
      <c r="Y10" s="38">
        <f>Dates!AC16</f>
        <v>0</v>
      </c>
      <c r="Z10" s="38">
        <f>Dates!AD16</f>
        <v>0</v>
      </c>
      <c r="AA10" s="38">
        <f>Dates!AE16</f>
        <v>0</v>
      </c>
      <c r="AB10" s="38">
        <f>Dates!AF16</f>
        <v>0</v>
      </c>
      <c r="AC10" s="38">
        <f>Dates!AG16</f>
        <v>0</v>
      </c>
      <c r="AD10" s="38">
        <f>Dates!AH16</f>
        <v>0</v>
      </c>
      <c r="AE10" s="38">
        <f>Dates!AI16</f>
        <v>0</v>
      </c>
      <c r="AF10" s="38">
        <f>Dates!AJ16</f>
        <v>0</v>
      </c>
      <c r="AG10" s="38">
        <f>Dates!AK16</f>
        <v>0</v>
      </c>
      <c r="AH10" s="134"/>
    </row>
    <row r="11" spans="2:34" ht="15" customHeight="1">
      <c r="E11" s="25" t="s">
        <v>557</v>
      </c>
      <c r="K11" s="38">
        <f>Dates!O17</f>
        <v>0</v>
      </c>
      <c r="L11" s="38">
        <f>Dates!P17</f>
        <v>0</v>
      </c>
      <c r="M11" s="38">
        <f>Dates!Q17</f>
        <v>0</v>
      </c>
      <c r="N11" s="38">
        <f>Dates!R17</f>
        <v>1</v>
      </c>
      <c r="O11" s="38">
        <f>Dates!S17</f>
        <v>1</v>
      </c>
      <c r="P11" s="38">
        <f>Dates!T17</f>
        <v>1</v>
      </c>
      <c r="Q11" s="38">
        <f>Dates!U17</f>
        <v>1</v>
      </c>
      <c r="R11" s="38">
        <f>Dates!V17</f>
        <v>1</v>
      </c>
      <c r="S11" s="38">
        <f>Dates!W17</f>
        <v>1</v>
      </c>
      <c r="T11" s="38">
        <f>Dates!X17</f>
        <v>1</v>
      </c>
      <c r="U11" s="38">
        <f>Dates!Y17</f>
        <v>1</v>
      </c>
      <c r="V11" s="38">
        <f>Dates!Z17</f>
        <v>1</v>
      </c>
      <c r="W11" s="38">
        <f>Dates!AA17</f>
        <v>1</v>
      </c>
      <c r="X11" s="38">
        <f>Dates!AB17</f>
        <v>1</v>
      </c>
      <c r="Y11" s="38">
        <f>Dates!AC17</f>
        <v>1</v>
      </c>
      <c r="Z11" s="38">
        <f>Dates!AD17</f>
        <v>1</v>
      </c>
      <c r="AA11" s="38">
        <f>Dates!AE17</f>
        <v>1</v>
      </c>
      <c r="AB11" s="38">
        <f>Dates!AF17</f>
        <v>1</v>
      </c>
      <c r="AC11" s="38">
        <f>Dates!AG17</f>
        <v>1</v>
      </c>
      <c r="AD11" s="38">
        <f>Dates!AH17</f>
        <v>1</v>
      </c>
      <c r="AE11" s="38">
        <f>Dates!AI17</f>
        <v>1</v>
      </c>
      <c r="AF11" s="38">
        <f>Dates!AJ17</f>
        <v>1</v>
      </c>
      <c r="AG11" s="38">
        <f>Dates!AK17</f>
        <v>1</v>
      </c>
      <c r="AH11" s="134"/>
    </row>
    <row r="12" spans="2:34" ht="15" customHeight="1">
      <c r="K12" s="34"/>
      <c r="L12" s="34"/>
      <c r="M12" s="34"/>
      <c r="N12" s="34"/>
      <c r="O12" s="34"/>
      <c r="P12" s="34"/>
      <c r="Q12" s="34"/>
      <c r="R12" s="34"/>
      <c r="S12" s="34"/>
      <c r="T12" s="34"/>
      <c r="U12" s="34"/>
      <c r="V12" s="34"/>
      <c r="W12" s="34"/>
      <c r="X12" s="34"/>
      <c r="Y12" s="34"/>
      <c r="Z12" s="34"/>
      <c r="AA12" s="34"/>
      <c r="AB12" s="34"/>
      <c r="AC12" s="34"/>
      <c r="AD12" s="34"/>
      <c r="AE12" s="34"/>
      <c r="AF12" s="34"/>
      <c r="AG12" s="34"/>
      <c r="AH12" s="134"/>
    </row>
    <row r="13" spans="2:34" ht="15" customHeight="1">
      <c r="E13" s="25" t="s">
        <v>694</v>
      </c>
      <c r="G13" s="33">
        <f>G23+G43+I76</f>
        <v>0</v>
      </c>
      <c r="K13" s="34"/>
      <c r="L13" s="34"/>
      <c r="M13" s="34"/>
      <c r="N13" s="34"/>
      <c r="O13" s="34"/>
      <c r="P13" s="34"/>
      <c r="Q13" s="34"/>
      <c r="R13" s="34"/>
      <c r="S13" s="34"/>
      <c r="T13" s="34"/>
      <c r="U13" s="34"/>
      <c r="V13" s="34"/>
      <c r="W13" s="34"/>
      <c r="X13" s="34"/>
      <c r="Y13" s="34"/>
      <c r="Z13" s="34"/>
      <c r="AA13" s="34"/>
      <c r="AB13" s="34"/>
      <c r="AC13" s="34"/>
      <c r="AD13" s="34"/>
      <c r="AE13" s="34"/>
      <c r="AF13" s="34"/>
      <c r="AG13" s="34"/>
      <c r="AH13" s="134"/>
    </row>
    <row r="14" spans="2:34" ht="15" customHeight="1">
      <c r="K14" s="34"/>
      <c r="L14" s="34"/>
      <c r="M14" s="34"/>
      <c r="N14" s="34"/>
      <c r="O14" s="34"/>
      <c r="P14" s="34"/>
      <c r="Q14" s="34"/>
      <c r="R14" s="34"/>
      <c r="S14" s="34"/>
      <c r="T14" s="34"/>
      <c r="U14" s="34"/>
      <c r="V14" s="34"/>
      <c r="W14" s="34"/>
      <c r="X14" s="34"/>
      <c r="Y14" s="34"/>
      <c r="Z14" s="34"/>
      <c r="AA14" s="34"/>
      <c r="AB14" s="34"/>
      <c r="AC14" s="34"/>
      <c r="AD14" s="34"/>
      <c r="AE14" s="34"/>
      <c r="AF14" s="34"/>
      <c r="AG14" s="34"/>
      <c r="AH14" s="134"/>
    </row>
    <row r="15" spans="2:34" ht="15" customHeight="1">
      <c r="B15" s="40"/>
      <c r="C15" s="14" t="s">
        <v>695</v>
      </c>
      <c r="D15" s="40"/>
      <c r="E15" s="40"/>
      <c r="F15" s="40"/>
      <c r="G15" s="40"/>
      <c r="H15" s="40"/>
      <c r="I15" s="40"/>
      <c r="J15" s="40"/>
      <c r="K15" s="40"/>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4"/>
    </row>
    <row r="16" spans="2:34" ht="15" customHeight="1">
      <c r="E16" t="s">
        <v>696</v>
      </c>
      <c r="F16" s="7" t="s">
        <v>229</v>
      </c>
      <c r="G16" s="388">
        <f>1-G18-G19</f>
        <v>0.19999999999999996</v>
      </c>
      <c r="H16" s="33">
        <f>G23</f>
        <v>0</v>
      </c>
      <c r="K16" s="34"/>
      <c r="L16" s="34"/>
      <c r="M16" s="34"/>
      <c r="N16" s="34"/>
      <c r="O16" s="34"/>
      <c r="P16" s="34"/>
      <c r="Q16" s="34"/>
      <c r="R16" s="34"/>
      <c r="S16" s="34"/>
      <c r="T16" s="34"/>
      <c r="U16" s="34"/>
      <c r="V16" s="34"/>
      <c r="W16" s="34"/>
      <c r="X16" s="34"/>
      <c r="Y16" s="34"/>
      <c r="Z16" s="34"/>
      <c r="AA16" s="34"/>
      <c r="AB16" s="34"/>
      <c r="AC16" s="34"/>
      <c r="AD16" s="34"/>
      <c r="AE16" s="34"/>
      <c r="AF16" s="34"/>
      <c r="AG16" s="34"/>
      <c r="AH16" s="134"/>
    </row>
    <row r="17" spans="2:34" ht="15" customHeight="1">
      <c r="E17" s="25" t="s">
        <v>697</v>
      </c>
      <c r="F17" s="7" t="str">
        <f>Inputs!$D$7</f>
        <v>HUF</v>
      </c>
      <c r="G17" s="262">
        <f>Construction!I58</f>
        <v>715407.0375475199</v>
      </c>
      <c r="H17" s="33">
        <f>IF(G16&gt;=0,0,1)</f>
        <v>0</v>
      </c>
      <c r="K17" s="34"/>
      <c r="L17" s="34"/>
      <c r="M17" s="34"/>
      <c r="N17" s="34"/>
      <c r="O17" s="34"/>
      <c r="P17" s="34"/>
      <c r="Q17" s="34"/>
      <c r="R17" s="34"/>
      <c r="S17" s="34"/>
      <c r="T17" s="34"/>
      <c r="U17" s="34"/>
      <c r="V17" s="34"/>
      <c r="W17" s="34"/>
      <c r="X17" s="34"/>
      <c r="Y17" s="34"/>
      <c r="Z17" s="34"/>
      <c r="AA17" s="34"/>
      <c r="AB17" s="34"/>
      <c r="AC17" s="34"/>
      <c r="AD17" s="34"/>
      <c r="AE17" s="34"/>
      <c r="AF17" s="34"/>
      <c r="AG17" s="34"/>
      <c r="AH17" s="134"/>
    </row>
    <row r="18" spans="2:34" ht="15" customHeight="1">
      <c r="E18" s="25" t="s">
        <v>698</v>
      </c>
      <c r="F18" s="7" t="s">
        <v>115</v>
      </c>
      <c r="G18" s="263">
        <f>Inputs!$I$125</f>
        <v>0.3</v>
      </c>
      <c r="K18" s="34"/>
      <c r="L18" s="34"/>
      <c r="M18" s="34"/>
      <c r="N18" s="34"/>
      <c r="O18" s="34"/>
      <c r="P18" s="34"/>
      <c r="Q18" s="34"/>
      <c r="R18" s="34"/>
      <c r="S18" s="34"/>
      <c r="T18" s="34"/>
      <c r="U18" s="34"/>
      <c r="V18" s="34"/>
      <c r="W18" s="34"/>
      <c r="X18" s="34"/>
      <c r="Y18" s="34"/>
      <c r="Z18" s="34"/>
      <c r="AA18" s="34"/>
      <c r="AB18" s="34"/>
      <c r="AC18" s="34"/>
      <c r="AD18" s="34"/>
      <c r="AE18" s="34"/>
      <c r="AF18" s="34"/>
      <c r="AG18" s="34"/>
      <c r="AH18" s="134"/>
    </row>
    <row r="19" spans="2:34" ht="15" customHeight="1">
      <c r="E19" s="25" t="s">
        <v>699</v>
      </c>
      <c r="F19" s="7" t="s">
        <v>115</v>
      </c>
      <c r="G19" s="263">
        <f>Inputs!$I$126</f>
        <v>0.5</v>
      </c>
      <c r="K19" s="34"/>
      <c r="L19" s="34"/>
      <c r="M19" s="34"/>
      <c r="N19" s="34"/>
      <c r="O19" s="34"/>
      <c r="P19" s="34"/>
      <c r="Q19" s="34"/>
      <c r="R19" s="34"/>
      <c r="S19" s="34"/>
      <c r="T19" s="34"/>
      <c r="U19" s="34"/>
      <c r="V19" s="34"/>
      <c r="W19" s="34"/>
      <c r="X19" s="34"/>
      <c r="Y19" s="34"/>
      <c r="Z19" s="34"/>
      <c r="AA19" s="34"/>
      <c r="AB19" s="34"/>
      <c r="AC19" s="34"/>
      <c r="AD19" s="34"/>
      <c r="AE19" s="34"/>
      <c r="AF19" s="34"/>
      <c r="AG19" s="34"/>
      <c r="AH19" s="134"/>
    </row>
    <row r="20" spans="2:34" ht="15" customHeight="1">
      <c r="E20" s="25" t="s">
        <v>56</v>
      </c>
      <c r="F20" s="7" t="str">
        <f>Inputs!$D$7</f>
        <v>HUF</v>
      </c>
      <c r="G20" s="262">
        <f>G17*G18</f>
        <v>214622.11126425597</v>
      </c>
      <c r="K20" s="34"/>
      <c r="L20" s="34"/>
      <c r="M20" s="34"/>
      <c r="N20" s="34"/>
      <c r="O20" s="34"/>
      <c r="P20" s="34"/>
      <c r="Q20" s="34"/>
      <c r="R20" s="34"/>
      <c r="S20" s="34"/>
      <c r="T20" s="34"/>
      <c r="U20" s="34"/>
      <c r="V20" s="34"/>
      <c r="W20" s="34"/>
      <c r="X20" s="34"/>
      <c r="Y20" s="34"/>
      <c r="Z20" s="34"/>
      <c r="AA20" s="34"/>
      <c r="AB20" s="34"/>
      <c r="AC20" s="34"/>
      <c r="AD20" s="34"/>
      <c r="AE20" s="34"/>
      <c r="AF20" s="34"/>
      <c r="AG20" s="34"/>
      <c r="AH20" s="134"/>
    </row>
    <row r="21" spans="2:34" ht="15" customHeight="1">
      <c r="E21" s="25" t="s">
        <v>59</v>
      </c>
      <c r="F21" s="7" t="str">
        <f>Inputs!$D$7</f>
        <v>HUF</v>
      </c>
      <c r="G21" s="262">
        <f>G17*G19</f>
        <v>357703.51877375995</v>
      </c>
      <c r="K21" s="34"/>
      <c r="L21" s="34"/>
      <c r="M21" s="34"/>
      <c r="N21" s="34"/>
      <c r="O21" s="34"/>
      <c r="P21" s="34"/>
      <c r="Q21" s="34"/>
      <c r="R21" s="34"/>
      <c r="S21" s="34"/>
      <c r="T21" s="34"/>
      <c r="U21" s="34"/>
      <c r="V21" s="34"/>
      <c r="W21" s="34"/>
      <c r="X21" s="34"/>
      <c r="Y21" s="34"/>
      <c r="Z21" s="34"/>
      <c r="AA21" s="34"/>
      <c r="AB21" s="34"/>
      <c r="AC21" s="34"/>
      <c r="AD21" s="34"/>
      <c r="AE21" s="34"/>
      <c r="AF21" s="34"/>
      <c r="AG21" s="34"/>
      <c r="AH21" s="134"/>
    </row>
    <row r="22" spans="2:34" ht="15" customHeight="1">
      <c r="E22" s="11" t="s">
        <v>61</v>
      </c>
      <c r="F22" s="7" t="str">
        <f>Inputs!$D$7</f>
        <v>HUF</v>
      </c>
      <c r="G22" s="262">
        <f>I73</f>
        <v>157283.29969052156</v>
      </c>
      <c r="K22" s="34"/>
      <c r="L22" s="34"/>
      <c r="M22" s="34"/>
      <c r="N22" s="34"/>
      <c r="O22" s="34"/>
      <c r="P22" s="34"/>
      <c r="Q22" s="34"/>
      <c r="R22" s="34"/>
      <c r="S22" s="34"/>
      <c r="T22" s="34"/>
      <c r="U22" s="34"/>
      <c r="V22" s="34"/>
      <c r="W22" s="34"/>
      <c r="X22" s="34"/>
      <c r="Y22" s="34"/>
      <c r="Z22" s="34"/>
      <c r="AA22" s="34"/>
      <c r="AB22" s="34"/>
      <c r="AC22" s="34"/>
      <c r="AD22" s="34"/>
      <c r="AE22" s="34"/>
      <c r="AF22" s="34"/>
      <c r="AG22" s="34"/>
      <c r="AH22" s="134"/>
    </row>
    <row r="23" spans="2:34" ht="15" customHeight="1">
      <c r="E23" s="25" t="s">
        <v>700</v>
      </c>
      <c r="G23" s="33">
        <f>IF(ABS(G20+G21+G22-I75)&lt;1,0,1)</f>
        <v>0</v>
      </c>
      <c r="K23" s="34"/>
      <c r="L23" s="34"/>
      <c r="M23" s="34"/>
      <c r="N23" s="34"/>
      <c r="O23" s="34"/>
      <c r="P23" s="34"/>
      <c r="Q23" s="34"/>
      <c r="R23" s="34"/>
      <c r="S23" s="34"/>
      <c r="T23" s="34"/>
      <c r="U23" s="34"/>
      <c r="V23" s="34"/>
      <c r="W23" s="34"/>
      <c r="X23" s="34"/>
      <c r="Y23" s="34"/>
      <c r="Z23" s="34"/>
      <c r="AA23" s="34"/>
      <c r="AB23" s="34"/>
      <c r="AC23" s="34"/>
      <c r="AD23" s="34"/>
      <c r="AE23" s="34"/>
      <c r="AF23" s="34"/>
      <c r="AG23" s="34"/>
      <c r="AH23" s="134"/>
    </row>
    <row r="24" spans="2:34" ht="15" customHeight="1">
      <c r="E24" s="25" t="s">
        <v>701</v>
      </c>
      <c r="F24" s="7" t="str">
        <f>Inputs!$D$7</f>
        <v>HUF</v>
      </c>
      <c r="G24" s="215">
        <f>G21*Inputs!$I$129</f>
        <v>3577.0351877375997</v>
      </c>
      <c r="K24" s="34"/>
      <c r="L24" s="34"/>
      <c r="M24" s="34"/>
      <c r="N24" s="34"/>
      <c r="O24" s="34"/>
      <c r="P24" s="34"/>
      <c r="Q24" s="34"/>
      <c r="R24" s="34"/>
      <c r="S24" s="34"/>
      <c r="T24" s="34"/>
      <c r="U24" s="34"/>
      <c r="V24" s="34"/>
      <c r="W24" s="34"/>
      <c r="X24" s="34"/>
      <c r="Y24" s="34"/>
      <c r="Z24" s="34"/>
      <c r="AA24" s="34"/>
      <c r="AB24" s="34"/>
      <c r="AC24" s="34"/>
      <c r="AD24" s="34"/>
      <c r="AE24" s="34"/>
      <c r="AF24" s="34"/>
      <c r="AG24" s="34"/>
      <c r="AH24" s="134"/>
    </row>
    <row r="25" spans="2:34" ht="15" customHeight="1">
      <c r="B25" s="40"/>
      <c r="C25" s="14" t="s">
        <v>702</v>
      </c>
      <c r="D25" s="40"/>
      <c r="E25" s="40"/>
      <c r="F25" s="40"/>
      <c r="G25" s="40"/>
      <c r="H25" s="40"/>
      <c r="I25" s="40"/>
      <c r="J25" s="40"/>
      <c r="K25" s="40"/>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4"/>
    </row>
    <row r="26" spans="2:34" ht="15" customHeight="1">
      <c r="K26" s="34"/>
      <c r="L26" s="34"/>
      <c r="M26" s="34"/>
      <c r="N26" s="34"/>
      <c r="O26" s="34"/>
      <c r="P26" s="34"/>
      <c r="Q26" s="34"/>
      <c r="R26" s="34"/>
      <c r="S26" s="34"/>
      <c r="T26" s="34"/>
      <c r="U26" s="34"/>
      <c r="V26" s="34"/>
      <c r="W26" s="34"/>
      <c r="X26" s="34"/>
      <c r="Y26" s="34"/>
      <c r="Z26" s="34"/>
      <c r="AA26" s="34"/>
      <c r="AB26" s="34"/>
      <c r="AC26" s="34"/>
      <c r="AD26" s="34"/>
      <c r="AE26" s="34"/>
      <c r="AF26" s="34"/>
      <c r="AG26" s="34"/>
      <c r="AH26" s="134"/>
    </row>
    <row r="27" spans="2:34" ht="15" customHeight="1">
      <c r="E27" s="25" t="s">
        <v>703</v>
      </c>
      <c r="F27" s="7" t="str">
        <f>Inputs!$D$7</f>
        <v>HUF</v>
      </c>
      <c r="I27" s="103">
        <f>SUM(K27:AG27)</f>
        <v>715407.0375475199</v>
      </c>
      <c r="K27" s="36">
        <f>Construction!K58</f>
        <v>0</v>
      </c>
      <c r="L27" s="36">
        <f>Construction!L58</f>
        <v>354161.89977600001</v>
      </c>
      <c r="M27" s="36">
        <f>Construction!M58</f>
        <v>361245.13777151995</v>
      </c>
      <c r="N27" s="36">
        <f>Construction!N58</f>
        <v>0</v>
      </c>
      <c r="O27" s="36">
        <f>Construction!O58</f>
        <v>0</v>
      </c>
      <c r="P27" s="36">
        <f>Construction!P58</f>
        <v>0</v>
      </c>
      <c r="Q27" s="36">
        <f>Construction!Q58</f>
        <v>0</v>
      </c>
      <c r="R27" s="36">
        <f>Construction!R58</f>
        <v>0</v>
      </c>
      <c r="S27" s="36">
        <f>Construction!S58</f>
        <v>0</v>
      </c>
      <c r="T27" s="36">
        <f>Construction!T58</f>
        <v>0</v>
      </c>
      <c r="U27" s="36">
        <f>Construction!U58</f>
        <v>0</v>
      </c>
      <c r="V27" s="36">
        <f>Construction!V58</f>
        <v>0</v>
      </c>
      <c r="W27" s="36">
        <f>Construction!W58</f>
        <v>0</v>
      </c>
      <c r="X27" s="36">
        <f>Construction!X58</f>
        <v>0</v>
      </c>
      <c r="Y27" s="36">
        <f>Construction!Y58</f>
        <v>0</v>
      </c>
      <c r="Z27" s="36">
        <f>Construction!Z58</f>
        <v>0</v>
      </c>
      <c r="AA27" s="36">
        <f>Construction!AA58</f>
        <v>0</v>
      </c>
      <c r="AB27" s="36">
        <f>Construction!AB58</f>
        <v>0</v>
      </c>
      <c r="AC27" s="36">
        <f>Construction!AC58</f>
        <v>0</v>
      </c>
      <c r="AD27" s="36">
        <f>Construction!AD58</f>
        <v>0</v>
      </c>
      <c r="AE27" s="36">
        <f>Construction!AE58</f>
        <v>0</v>
      </c>
      <c r="AF27" s="36">
        <f>Construction!AF58</f>
        <v>0</v>
      </c>
      <c r="AG27" s="36">
        <f>Construction!AG58</f>
        <v>0</v>
      </c>
      <c r="AH27" s="134"/>
    </row>
    <row r="28" spans="2:34" ht="15" customHeight="1">
      <c r="E28" s="11" t="s">
        <v>704</v>
      </c>
      <c r="F28" s="7" t="str">
        <f>Inputs!$D$7</f>
        <v>HUF</v>
      </c>
      <c r="I28" s="103">
        <f>SUM(K28:AG28)</f>
        <v>357703.51877375995</v>
      </c>
      <c r="K28" s="36">
        <f>$G$21*IFERROR(Construction!K58/Construction!$I$58,0)</f>
        <v>0</v>
      </c>
      <c r="L28" s="36">
        <f>$G$21*IFERROR(Construction!L58/Construction!$I$58,0)</f>
        <v>177080.949888</v>
      </c>
      <c r="M28" s="36">
        <f>$G$21*IFERROR(Construction!M58/Construction!$I$58,0)</f>
        <v>180622.56888575997</v>
      </c>
      <c r="N28" s="36">
        <f>$G$21*IFERROR(Construction!N58/Construction!$I$58,0)</f>
        <v>0</v>
      </c>
      <c r="O28" s="36">
        <f>$G$21*IFERROR(Construction!O58/Construction!$I$58,0)</f>
        <v>0</v>
      </c>
      <c r="P28" s="36">
        <f>$G$21*IFERROR(Construction!P58/Construction!$I$58,0)</f>
        <v>0</v>
      </c>
      <c r="Q28" s="36">
        <f>$G$21*IFERROR(Construction!Q58/Construction!$I$58,0)</f>
        <v>0</v>
      </c>
      <c r="R28" s="36">
        <f>$G$21*IFERROR(Construction!R58/Construction!$I$58,0)</f>
        <v>0</v>
      </c>
      <c r="S28" s="36">
        <f>$G$21*IFERROR(Construction!S58/Construction!$I$58,0)</f>
        <v>0</v>
      </c>
      <c r="T28" s="36">
        <f>$G$21*IFERROR(Construction!T58/Construction!$I$58,0)</f>
        <v>0</v>
      </c>
      <c r="U28" s="36">
        <f>$G$21*IFERROR(Construction!U58/Construction!$I$58,0)</f>
        <v>0</v>
      </c>
      <c r="V28" s="36">
        <f>$G$21*IFERROR(Construction!V58/Construction!$I$58,0)</f>
        <v>0</v>
      </c>
      <c r="W28" s="36">
        <f>$G$21*IFERROR(Construction!W58/Construction!$I$58,0)</f>
        <v>0</v>
      </c>
      <c r="X28" s="36">
        <f>$G$21*IFERROR(Construction!X58/Construction!$I$58,0)</f>
        <v>0</v>
      </c>
      <c r="Y28" s="36">
        <f>$G$21*IFERROR(Construction!Y58/Construction!$I$58,0)</f>
        <v>0</v>
      </c>
      <c r="Z28" s="36">
        <f>$G$21*IFERROR(Construction!Z58/Construction!$I$58,0)</f>
        <v>0</v>
      </c>
      <c r="AA28" s="36">
        <f>$G$21*IFERROR(Construction!AA58/Construction!$I$58,0)</f>
        <v>0</v>
      </c>
      <c r="AB28" s="36">
        <f>$G$21*IFERROR(Construction!AB58/Construction!$I$58,0)</f>
        <v>0</v>
      </c>
      <c r="AC28" s="36">
        <f>$G$21*IFERROR(Construction!AC58/Construction!$I$58,0)</f>
        <v>0</v>
      </c>
      <c r="AD28" s="36">
        <f>$G$21*IFERROR(Construction!AD58/Construction!$I$58,0)</f>
        <v>0</v>
      </c>
      <c r="AE28" s="36">
        <f>$G$21*IFERROR(Construction!AE58/Construction!$I$58,0)</f>
        <v>0</v>
      </c>
      <c r="AF28" s="36">
        <f>$G$21*IFERROR(Construction!AF58/Construction!$I$58,0)</f>
        <v>0</v>
      </c>
      <c r="AG28" s="36">
        <f>$G$21*IFERROR(Construction!AG58/Construction!$I$58,0)</f>
        <v>0</v>
      </c>
      <c r="AH28" s="134"/>
    </row>
    <row r="29" spans="2:34" ht="15" customHeight="1">
      <c r="K29" s="34"/>
      <c r="L29" s="34"/>
      <c r="M29" s="34"/>
      <c r="N29" s="34"/>
      <c r="O29" s="34"/>
      <c r="P29" s="34"/>
      <c r="Q29" s="34"/>
      <c r="R29" s="34"/>
      <c r="S29" s="34"/>
      <c r="T29" s="34"/>
      <c r="U29" s="34"/>
      <c r="V29" s="34"/>
      <c r="W29" s="34"/>
      <c r="X29" s="34"/>
      <c r="Y29" s="34"/>
      <c r="Z29" s="34"/>
      <c r="AA29" s="34"/>
      <c r="AB29" s="34"/>
      <c r="AC29" s="34"/>
      <c r="AD29" s="34"/>
      <c r="AE29" s="34"/>
      <c r="AF29" s="34"/>
      <c r="AG29" s="34"/>
      <c r="AH29" s="134"/>
    </row>
    <row r="30" spans="2:34" ht="15" customHeight="1">
      <c r="B30" s="40"/>
      <c r="C30" s="14" t="s">
        <v>705</v>
      </c>
      <c r="D30" s="40"/>
      <c r="E30" s="40"/>
      <c r="F30" s="40"/>
      <c r="G30" s="40"/>
      <c r="H30" s="40"/>
      <c r="I30" s="40"/>
      <c r="J30" s="40"/>
      <c r="K30" s="40"/>
      <c r="L30" s="40"/>
      <c r="M30" s="135"/>
      <c r="N30" s="135"/>
      <c r="O30" s="135"/>
      <c r="P30" s="135"/>
      <c r="Q30" s="135"/>
      <c r="R30" s="135"/>
      <c r="S30" s="135"/>
      <c r="T30" s="135"/>
      <c r="U30" s="135"/>
      <c r="V30" s="135"/>
      <c r="W30" s="135"/>
      <c r="X30" s="135"/>
      <c r="Y30" s="135"/>
      <c r="Z30" s="135"/>
      <c r="AA30" s="135"/>
      <c r="AB30" s="135"/>
      <c r="AC30" s="135"/>
      <c r="AD30" s="135"/>
      <c r="AE30" s="135"/>
      <c r="AF30" s="135"/>
      <c r="AG30" s="135"/>
      <c r="AH30" s="134"/>
    </row>
    <row r="31" spans="2:34" ht="15" customHeight="1">
      <c r="K31" s="34"/>
      <c r="L31" s="34"/>
      <c r="M31" s="34"/>
      <c r="N31" s="34"/>
      <c r="O31" s="34"/>
      <c r="P31" s="34"/>
      <c r="Q31" s="34"/>
      <c r="R31" s="34"/>
      <c r="S31" s="34"/>
      <c r="T31" s="34"/>
      <c r="U31" s="34"/>
      <c r="V31" s="34"/>
      <c r="W31" s="34"/>
      <c r="X31" s="34"/>
      <c r="Y31" s="34"/>
      <c r="Z31" s="34"/>
      <c r="AA31" s="34"/>
      <c r="AB31" s="34"/>
      <c r="AC31" s="34"/>
      <c r="AD31" s="34"/>
      <c r="AE31" s="34"/>
      <c r="AF31" s="34"/>
      <c r="AG31" s="34"/>
      <c r="AH31" s="134"/>
    </row>
    <row r="32" spans="2:34" ht="15" customHeight="1">
      <c r="E32" s="25" t="s">
        <v>217</v>
      </c>
      <c r="F32" s="7" t="s">
        <v>619</v>
      </c>
      <c r="G32" s="265">
        <f>Inputs!$I$128</f>
        <v>15</v>
      </c>
      <c r="K32" s="34"/>
      <c r="L32" s="34"/>
      <c r="M32" s="34"/>
      <c r="N32" s="34"/>
      <c r="O32" s="34"/>
      <c r="P32" s="34"/>
      <c r="Q32" s="34"/>
      <c r="R32" s="34"/>
      <c r="S32" s="34"/>
      <c r="T32" s="34"/>
      <c r="U32" s="34"/>
      <c r="V32" s="34"/>
      <c r="W32" s="34"/>
      <c r="X32" s="34"/>
      <c r="Y32" s="34"/>
      <c r="Z32" s="34"/>
      <c r="AA32" s="34"/>
      <c r="AB32" s="34"/>
      <c r="AC32" s="34"/>
      <c r="AD32" s="34"/>
      <c r="AE32" s="34"/>
      <c r="AF32" s="34"/>
      <c r="AG32" s="34"/>
      <c r="AH32" s="134"/>
    </row>
    <row r="33" spans="2:34" ht="15" customHeight="1">
      <c r="E33" s="25" t="s">
        <v>706</v>
      </c>
      <c r="F33" s="7" t="s">
        <v>115</v>
      </c>
      <c r="G33" s="266">
        <f>Inputs!$I$127</f>
        <v>0.06</v>
      </c>
      <c r="K33" s="34"/>
      <c r="L33" s="34"/>
      <c r="M33" s="34"/>
      <c r="N33" s="34"/>
      <c r="O33" s="34"/>
      <c r="P33" s="34"/>
      <c r="Q33" s="34"/>
      <c r="R33" s="34"/>
      <c r="S33" s="34"/>
      <c r="T33" s="34"/>
      <c r="U33" s="34"/>
      <c r="V33" s="34"/>
      <c r="W33" s="34"/>
      <c r="X33" s="34"/>
      <c r="Y33" s="34"/>
      <c r="Z33" s="34"/>
      <c r="AA33" s="34"/>
      <c r="AB33" s="34"/>
      <c r="AC33" s="34"/>
      <c r="AD33" s="34"/>
      <c r="AE33" s="34"/>
      <c r="AF33" s="34"/>
      <c r="AG33" s="34"/>
      <c r="AH33" s="134"/>
    </row>
    <row r="34" spans="2:34" ht="15" customHeight="1">
      <c r="E34" s="25" t="s">
        <v>707</v>
      </c>
      <c r="F34" s="7" t="s">
        <v>708</v>
      </c>
      <c r="K34" s="38">
        <f>IF(AND(K11=1,K6&lt;=$G$32+SUM($K$10:K10)),1,0)</f>
        <v>0</v>
      </c>
      <c r="L34" s="38">
        <f>IF(AND(L11=1,L6&lt;=$G$32+SUM($K$10:L10)),1,0)</f>
        <v>0</v>
      </c>
      <c r="M34" s="38">
        <f>IF(AND(M11=1,M6&lt;=$G$32+SUM($K$10:M10)),1,0)</f>
        <v>0</v>
      </c>
      <c r="N34" s="38">
        <f>IF(AND(N11=1,N6&lt;=$G$32+SUM($K$10:N10)),1,0)</f>
        <v>1</v>
      </c>
      <c r="O34" s="38">
        <f>IF(AND(O11=1,O6&lt;=$G$32+SUM($K$10:O10)),1,0)</f>
        <v>1</v>
      </c>
      <c r="P34" s="38">
        <f>IF(AND(P11=1,P6&lt;=$G$32+SUM($K$10:P10)),1,0)</f>
        <v>1</v>
      </c>
      <c r="Q34" s="38">
        <f>IF(AND(Q11=1,Q6&lt;=$G$32+SUM($K$10:Q10)),1,0)</f>
        <v>1</v>
      </c>
      <c r="R34" s="38">
        <f>IF(AND(R11=1,R6&lt;=$G$32+SUM($K$10:R10)),1,0)</f>
        <v>1</v>
      </c>
      <c r="S34" s="38">
        <f>IF(AND(S11=1,S6&lt;=$G$32+SUM($K$10:S10)),1,0)</f>
        <v>1</v>
      </c>
      <c r="T34" s="38">
        <f>IF(AND(T11=1,T6&lt;=$G$32+SUM($K$10:T10)),1,0)</f>
        <v>1</v>
      </c>
      <c r="U34" s="38">
        <f>IF(AND(U11=1,U6&lt;=$G$32+SUM($K$10:U10)),1,0)</f>
        <v>1</v>
      </c>
      <c r="V34" s="38">
        <f>IF(AND(V11=1,V6&lt;=$G$32+SUM($K$10:V10)),1,0)</f>
        <v>1</v>
      </c>
      <c r="W34" s="38">
        <f>IF(AND(W11=1,W6&lt;=$G$32+SUM($K$10:W10)),1,0)</f>
        <v>1</v>
      </c>
      <c r="X34" s="38">
        <f>IF(AND(X11=1,X6&lt;=$G$32+SUM($K$10:X10)),1,0)</f>
        <v>1</v>
      </c>
      <c r="Y34" s="38">
        <f>IF(AND(Y11=1,Y6&lt;=$G$32+SUM($K$10:Y10)),1,0)</f>
        <v>1</v>
      </c>
      <c r="Z34" s="38">
        <f>IF(AND(Z11=1,Z6&lt;=$G$32+SUM($K$10:Z10)),1,0)</f>
        <v>1</v>
      </c>
      <c r="AA34" s="38">
        <f>IF(AND(AA11=1,AA6&lt;=$G$32+SUM($K$10:AA10)),1,0)</f>
        <v>1</v>
      </c>
      <c r="AB34" s="38">
        <f>IF(AND(AB11=1,AB6&lt;=$G$32+SUM($K$10:AB10)),1,0)</f>
        <v>1</v>
      </c>
      <c r="AC34" s="38">
        <f>IF(AND(AC11=1,AC6&lt;=$G$32+SUM($K$10:AC10)),1,0)</f>
        <v>0</v>
      </c>
      <c r="AD34" s="38">
        <f>IF(AND(AD11=1,AD6&lt;=$G$32+SUM($K$10:AD10)),1,0)</f>
        <v>0</v>
      </c>
      <c r="AE34" s="38">
        <f>IF(AND(AE11=1,AE6&lt;=$G$32+SUM($K$10:AE10)),1,0)</f>
        <v>0</v>
      </c>
      <c r="AF34" s="38">
        <f>IF(AND(AF11=1,AF6&lt;=$G$32+SUM($K$10:AF10)),1,0)</f>
        <v>0</v>
      </c>
      <c r="AG34" s="38">
        <f>IF(AND(AG11=1,AG6&lt;=$G$32+SUM($K$10:AG10)),1,0)</f>
        <v>0</v>
      </c>
      <c r="AH34" s="134"/>
    </row>
    <row r="35" spans="2:34" ht="15" customHeight="1">
      <c r="E35" s="25" t="s">
        <v>709</v>
      </c>
      <c r="F35" s="7" t="s">
        <v>55</v>
      </c>
      <c r="K35" s="35">
        <f>SUM($K$11:K11)</f>
        <v>0</v>
      </c>
      <c r="L35" s="35">
        <f>SUM($K$11:L11)</f>
        <v>0</v>
      </c>
      <c r="M35" s="35">
        <f>SUM($K$11:M11)</f>
        <v>0</v>
      </c>
      <c r="N35" s="35">
        <f>SUM($K$11:N11)</f>
        <v>1</v>
      </c>
      <c r="O35" s="35">
        <f>SUM($K$11:O11)</f>
        <v>2</v>
      </c>
      <c r="P35" s="35">
        <f>SUM($K$11:P11)</f>
        <v>3</v>
      </c>
      <c r="Q35" s="35">
        <f>SUM($K$11:Q11)</f>
        <v>4</v>
      </c>
      <c r="R35" s="35">
        <f>SUM($K$11:R11)</f>
        <v>5</v>
      </c>
      <c r="S35" s="35">
        <f>SUM($K$11:S11)</f>
        <v>6</v>
      </c>
      <c r="T35" s="35">
        <f>SUM($K$11:T11)</f>
        <v>7</v>
      </c>
      <c r="U35" s="35">
        <f>SUM($K$11:U11)</f>
        <v>8</v>
      </c>
      <c r="V35" s="35">
        <f>SUM($K$11:V11)</f>
        <v>9</v>
      </c>
      <c r="W35" s="35">
        <f>SUM($K$11:W11)</f>
        <v>10</v>
      </c>
      <c r="X35" s="35">
        <f>SUM($K$11:X11)</f>
        <v>11</v>
      </c>
      <c r="Y35" s="35">
        <f>SUM($K$11:Y11)</f>
        <v>12</v>
      </c>
      <c r="Z35" s="35">
        <f>SUM($K$11:Z11)</f>
        <v>13</v>
      </c>
      <c r="AA35" s="35">
        <f>SUM($K$11:AA11)</f>
        <v>14</v>
      </c>
      <c r="AB35" s="35">
        <f>SUM($K$11:AB11)</f>
        <v>15</v>
      </c>
      <c r="AC35" s="35">
        <f>SUM($K$11:AC11)</f>
        <v>16</v>
      </c>
      <c r="AD35" s="35">
        <f>SUM($K$11:AD11)</f>
        <v>17</v>
      </c>
      <c r="AE35" s="35">
        <f>SUM($K$11:AE11)</f>
        <v>18</v>
      </c>
      <c r="AF35" s="35">
        <f>SUM($K$11:AF11)</f>
        <v>19</v>
      </c>
      <c r="AG35" s="35">
        <f>SUM($K$11:AG11)</f>
        <v>20</v>
      </c>
      <c r="AH35" s="134"/>
    </row>
    <row r="36" spans="2:34" ht="15" customHeight="1">
      <c r="K36" s="34"/>
      <c r="L36" s="34"/>
      <c r="M36" s="34"/>
      <c r="N36" s="34"/>
      <c r="O36" s="34"/>
      <c r="P36" s="34"/>
      <c r="Q36" s="34"/>
      <c r="R36" s="34"/>
      <c r="S36" s="34"/>
      <c r="T36" s="34"/>
      <c r="U36" s="34"/>
      <c r="V36" s="34"/>
      <c r="W36" s="34"/>
      <c r="X36" s="34"/>
      <c r="Y36" s="34"/>
      <c r="Z36" s="34"/>
      <c r="AA36" s="34"/>
      <c r="AB36" s="34"/>
      <c r="AC36" s="34"/>
      <c r="AD36" s="34"/>
      <c r="AE36" s="34"/>
      <c r="AF36" s="34"/>
      <c r="AG36" s="34"/>
      <c r="AH36" s="134"/>
    </row>
    <row r="37" spans="2:34" ht="15" customHeight="1">
      <c r="B37" s="40"/>
      <c r="C37" s="14" t="s">
        <v>710</v>
      </c>
      <c r="D37" s="40"/>
      <c r="E37" s="40"/>
      <c r="F37" s="40"/>
      <c r="G37" s="40"/>
      <c r="H37" s="40"/>
      <c r="I37" s="40"/>
      <c r="J37" s="40"/>
      <c r="K37" s="40"/>
      <c r="L37" s="40"/>
      <c r="M37" s="135"/>
      <c r="N37" s="135"/>
      <c r="O37" s="135"/>
      <c r="P37" s="135"/>
      <c r="Q37" s="135"/>
      <c r="R37" s="135"/>
      <c r="S37" s="135"/>
      <c r="T37" s="135"/>
      <c r="U37" s="135"/>
      <c r="V37" s="135"/>
      <c r="W37" s="135"/>
      <c r="X37" s="135"/>
      <c r="Y37" s="135"/>
      <c r="Z37" s="135"/>
      <c r="AA37" s="135"/>
      <c r="AB37" s="135"/>
      <c r="AC37" s="135"/>
      <c r="AD37" s="135"/>
      <c r="AE37" s="135"/>
      <c r="AF37" s="135"/>
      <c r="AG37" s="135"/>
      <c r="AH37" s="134"/>
    </row>
    <row r="38" spans="2:34" ht="15" customHeight="1">
      <c r="H38" s="33">
        <f>G43</f>
        <v>0</v>
      </c>
      <c r="K38" s="34"/>
      <c r="L38" s="34"/>
      <c r="M38" s="34"/>
      <c r="N38" s="34"/>
      <c r="O38" s="34"/>
      <c r="P38" s="34"/>
      <c r="Q38" s="34"/>
      <c r="R38" s="34"/>
      <c r="S38" s="34"/>
      <c r="T38" s="34"/>
      <c r="U38" s="34"/>
      <c r="V38" s="34"/>
      <c r="W38" s="34"/>
      <c r="X38" s="34"/>
      <c r="Y38" s="34"/>
      <c r="Z38" s="34"/>
      <c r="AA38" s="34"/>
      <c r="AB38" s="34"/>
      <c r="AC38" s="34"/>
      <c r="AD38" s="34"/>
      <c r="AE38" s="34"/>
      <c r="AF38" s="34"/>
      <c r="AG38" s="34"/>
      <c r="AH38" s="134"/>
    </row>
    <row r="39" spans="2:34" ht="15" customHeight="1">
      <c r="E39" s="25" t="s">
        <v>680</v>
      </c>
      <c r="F39" s="7" t="str">
        <f>Inputs!$D$7</f>
        <v>HUF</v>
      </c>
      <c r="K39" s="36">
        <f>IF(K6=0,0,G42)</f>
        <v>0</v>
      </c>
      <c r="L39" s="36">
        <f t="shared" ref="L39:AG39" si="0">IF(L6=0,0,K42)</f>
        <v>0</v>
      </c>
      <c r="M39" s="36">
        <f t="shared" si="0"/>
        <v>177080.949888</v>
      </c>
      <c r="N39" s="36">
        <f t="shared" si="0"/>
        <v>357703.51877375995</v>
      </c>
      <c r="O39" s="36">
        <f t="shared" si="0"/>
        <v>342335.58693069813</v>
      </c>
      <c r="P39" s="36">
        <f t="shared" si="0"/>
        <v>326045.5791770526</v>
      </c>
      <c r="Q39" s="36">
        <f t="shared" si="0"/>
        <v>308778.17095818836</v>
      </c>
      <c r="R39" s="36">
        <f t="shared" si="0"/>
        <v>290474.71824619226</v>
      </c>
      <c r="S39" s="36">
        <f t="shared" si="0"/>
        <v>271073.05837147636</v>
      </c>
      <c r="T39" s="36">
        <f t="shared" si="0"/>
        <v>250507.29890427753</v>
      </c>
      <c r="U39" s="36">
        <f t="shared" si="0"/>
        <v>228707.59386904677</v>
      </c>
      <c r="V39" s="36">
        <f t="shared" si="0"/>
        <v>205599.90653170217</v>
      </c>
      <c r="W39" s="36">
        <f t="shared" si="0"/>
        <v>181105.75795411691</v>
      </c>
      <c r="X39" s="36">
        <f t="shared" si="0"/>
        <v>155141.96046187653</v>
      </c>
      <c r="Y39" s="36">
        <f t="shared" si="0"/>
        <v>127620.33512010172</v>
      </c>
      <c r="Z39" s="36">
        <f t="shared" si="0"/>
        <v>98447.412257820411</v>
      </c>
      <c r="AA39" s="36">
        <f t="shared" si="0"/>
        <v>67524.11402380222</v>
      </c>
      <c r="AB39" s="36">
        <f t="shared" si="0"/>
        <v>34745.417895742947</v>
      </c>
      <c r="AC39" s="36">
        <f t="shared" si="0"/>
        <v>1.1641532182693481E-10</v>
      </c>
      <c r="AD39" s="36">
        <f t="shared" si="0"/>
        <v>0</v>
      </c>
      <c r="AE39" s="36">
        <f t="shared" si="0"/>
        <v>0</v>
      </c>
      <c r="AF39" s="36">
        <f t="shared" si="0"/>
        <v>0</v>
      </c>
      <c r="AG39" s="36">
        <f t="shared" si="0"/>
        <v>0</v>
      </c>
      <c r="AH39" s="134"/>
    </row>
    <row r="40" spans="2:34" ht="15" customHeight="1">
      <c r="E40" s="25" t="s">
        <v>711</v>
      </c>
      <c r="F40" s="7" t="str">
        <f>Inputs!$D$7</f>
        <v>HUF</v>
      </c>
      <c r="K40" s="36">
        <f t="shared" ref="K40:AG40" si="1">K28</f>
        <v>0</v>
      </c>
      <c r="L40" s="36">
        <f t="shared" si="1"/>
        <v>177080.949888</v>
      </c>
      <c r="M40" s="36">
        <f t="shared" si="1"/>
        <v>180622.56888575997</v>
      </c>
      <c r="N40" s="36">
        <f t="shared" si="1"/>
        <v>0</v>
      </c>
      <c r="O40" s="36">
        <f t="shared" si="1"/>
        <v>0</v>
      </c>
      <c r="P40" s="36">
        <f t="shared" si="1"/>
        <v>0</v>
      </c>
      <c r="Q40" s="36">
        <f t="shared" si="1"/>
        <v>0</v>
      </c>
      <c r="R40" s="36">
        <f t="shared" si="1"/>
        <v>0</v>
      </c>
      <c r="S40" s="36">
        <f t="shared" si="1"/>
        <v>0</v>
      </c>
      <c r="T40" s="36">
        <f t="shared" si="1"/>
        <v>0</v>
      </c>
      <c r="U40" s="36">
        <f t="shared" si="1"/>
        <v>0</v>
      </c>
      <c r="V40" s="36">
        <f t="shared" si="1"/>
        <v>0</v>
      </c>
      <c r="W40" s="36">
        <f t="shared" si="1"/>
        <v>0</v>
      </c>
      <c r="X40" s="36">
        <f t="shared" si="1"/>
        <v>0</v>
      </c>
      <c r="Y40" s="36">
        <f t="shared" si="1"/>
        <v>0</v>
      </c>
      <c r="Z40" s="36">
        <f t="shared" si="1"/>
        <v>0</v>
      </c>
      <c r="AA40" s="36">
        <f t="shared" si="1"/>
        <v>0</v>
      </c>
      <c r="AB40" s="36">
        <f t="shared" si="1"/>
        <v>0</v>
      </c>
      <c r="AC40" s="36">
        <f t="shared" si="1"/>
        <v>0</v>
      </c>
      <c r="AD40" s="36">
        <f t="shared" si="1"/>
        <v>0</v>
      </c>
      <c r="AE40" s="36">
        <f t="shared" si="1"/>
        <v>0</v>
      </c>
      <c r="AF40" s="36">
        <f t="shared" si="1"/>
        <v>0</v>
      </c>
      <c r="AG40" s="36">
        <f t="shared" si="1"/>
        <v>0</v>
      </c>
      <c r="AH40" s="134"/>
    </row>
    <row r="41" spans="2:34" ht="15" customHeight="1">
      <c r="E41" s="25" t="s">
        <v>712</v>
      </c>
      <c r="F41" s="7" t="str">
        <f>Inputs!$D$7</f>
        <v>HUF</v>
      </c>
      <c r="K41" s="36">
        <f t="shared" ref="K41:AG41" si="2">-K52</f>
        <v>0</v>
      </c>
      <c r="L41" s="36">
        <f t="shared" si="2"/>
        <v>0</v>
      </c>
      <c r="M41" s="36">
        <f t="shared" si="2"/>
        <v>0</v>
      </c>
      <c r="N41" s="36">
        <f t="shared" si="2"/>
        <v>-15367.931843061815</v>
      </c>
      <c r="O41" s="36">
        <f t="shared" si="2"/>
        <v>-16290.007753645521</v>
      </c>
      <c r="P41" s="36">
        <f t="shared" si="2"/>
        <v>-17267.408218864253</v>
      </c>
      <c r="Q41" s="36">
        <f t="shared" si="2"/>
        <v>-18303.452711996109</v>
      </c>
      <c r="R41" s="36">
        <f t="shared" si="2"/>
        <v>-19401.659874715875</v>
      </c>
      <c r="S41" s="36">
        <f t="shared" si="2"/>
        <v>-20565.759467198826</v>
      </c>
      <c r="T41" s="36">
        <f t="shared" si="2"/>
        <v>-21799.705035230756</v>
      </c>
      <c r="U41" s="36">
        <f t="shared" si="2"/>
        <v>-23107.687337344603</v>
      </c>
      <c r="V41" s="36">
        <f t="shared" si="2"/>
        <v>-24494.148577585278</v>
      </c>
      <c r="W41" s="36">
        <f t="shared" si="2"/>
        <v>-25963.797492240396</v>
      </c>
      <c r="X41" s="36">
        <f t="shared" si="2"/>
        <v>-27521.625341774816</v>
      </c>
      <c r="Y41" s="36">
        <f t="shared" si="2"/>
        <v>-29172.922862281306</v>
      </c>
      <c r="Z41" s="36">
        <f t="shared" si="2"/>
        <v>-30923.298234018184</v>
      </c>
      <c r="AA41" s="36">
        <f t="shared" si="2"/>
        <v>-32778.696128059273</v>
      </c>
      <c r="AB41" s="36">
        <f t="shared" si="2"/>
        <v>-34745.41789574283</v>
      </c>
      <c r="AC41" s="36">
        <f t="shared" si="2"/>
        <v>-1.1641532182693481E-10</v>
      </c>
      <c r="AD41" s="36">
        <f t="shared" si="2"/>
        <v>0</v>
      </c>
      <c r="AE41" s="36">
        <f t="shared" si="2"/>
        <v>0</v>
      </c>
      <c r="AF41" s="36">
        <f t="shared" si="2"/>
        <v>0</v>
      </c>
      <c r="AG41" s="36">
        <f t="shared" si="2"/>
        <v>0</v>
      </c>
      <c r="AH41" s="134"/>
    </row>
    <row r="42" spans="2:34" ht="15" customHeight="1">
      <c r="E42" s="112" t="s">
        <v>685</v>
      </c>
      <c r="F42" s="107" t="str">
        <f>Inputs!$D$7</f>
        <v>HUF</v>
      </c>
      <c r="G42" s="108"/>
      <c r="H42" s="108"/>
      <c r="I42" s="108"/>
      <c r="J42" s="108"/>
      <c r="K42" s="122">
        <f t="shared" ref="K42:AG42" si="3">K39+K40+K41</f>
        <v>0</v>
      </c>
      <c r="L42" s="122">
        <f t="shared" si="3"/>
        <v>177080.949888</v>
      </c>
      <c r="M42" s="122">
        <f t="shared" si="3"/>
        <v>357703.51877375995</v>
      </c>
      <c r="N42" s="122">
        <f t="shared" si="3"/>
        <v>342335.58693069813</v>
      </c>
      <c r="O42" s="122">
        <f t="shared" si="3"/>
        <v>326045.5791770526</v>
      </c>
      <c r="P42" s="122">
        <f t="shared" si="3"/>
        <v>308778.17095818836</v>
      </c>
      <c r="Q42" s="122">
        <f t="shared" si="3"/>
        <v>290474.71824619226</v>
      </c>
      <c r="R42" s="122">
        <f t="shared" si="3"/>
        <v>271073.05837147636</v>
      </c>
      <c r="S42" s="122">
        <f t="shared" si="3"/>
        <v>250507.29890427753</v>
      </c>
      <c r="T42" s="122">
        <f t="shared" si="3"/>
        <v>228707.59386904677</v>
      </c>
      <c r="U42" s="122">
        <f t="shared" si="3"/>
        <v>205599.90653170217</v>
      </c>
      <c r="V42" s="122">
        <f t="shared" si="3"/>
        <v>181105.75795411691</v>
      </c>
      <c r="W42" s="122">
        <f t="shared" si="3"/>
        <v>155141.96046187653</v>
      </c>
      <c r="X42" s="122">
        <f t="shared" si="3"/>
        <v>127620.33512010172</v>
      </c>
      <c r="Y42" s="122">
        <f t="shared" si="3"/>
        <v>98447.412257820411</v>
      </c>
      <c r="Z42" s="122">
        <f t="shared" si="3"/>
        <v>67524.11402380222</v>
      </c>
      <c r="AA42" s="122">
        <f t="shared" si="3"/>
        <v>34745.417895742947</v>
      </c>
      <c r="AB42" s="122">
        <f t="shared" si="3"/>
        <v>1.1641532182693481E-10</v>
      </c>
      <c r="AC42" s="122">
        <f t="shared" si="3"/>
        <v>0</v>
      </c>
      <c r="AD42" s="122">
        <f t="shared" si="3"/>
        <v>0</v>
      </c>
      <c r="AE42" s="122">
        <f t="shared" si="3"/>
        <v>0</v>
      </c>
      <c r="AF42" s="122">
        <f t="shared" si="3"/>
        <v>0</v>
      </c>
      <c r="AG42" s="122">
        <f t="shared" si="3"/>
        <v>0</v>
      </c>
      <c r="AH42" s="134"/>
    </row>
    <row r="43" spans="2:34" ht="15" customHeight="1">
      <c r="E43" s="25" t="s">
        <v>713</v>
      </c>
      <c r="G43" s="33">
        <f>IF(ABS(AG42)&lt;1,0,1)</f>
        <v>0</v>
      </c>
      <c r="K43" s="34"/>
      <c r="L43" s="34"/>
      <c r="M43" s="34"/>
      <c r="N43" s="34"/>
      <c r="O43" s="34"/>
      <c r="P43" s="34"/>
      <c r="Q43" s="34"/>
      <c r="R43" s="34"/>
      <c r="S43" s="34"/>
      <c r="T43" s="34"/>
      <c r="U43" s="34"/>
      <c r="V43" s="34"/>
      <c r="W43" s="34"/>
      <c r="X43" s="34"/>
      <c r="Y43" s="34"/>
      <c r="Z43" s="34"/>
      <c r="AA43" s="34"/>
      <c r="AB43" s="34"/>
      <c r="AC43" s="34"/>
      <c r="AD43" s="34"/>
      <c r="AE43" s="34"/>
      <c r="AF43" s="34"/>
      <c r="AG43" s="34"/>
      <c r="AH43" s="134"/>
    </row>
    <row r="44" spans="2:34" ht="15" customHeight="1">
      <c r="B44" s="40"/>
      <c r="C44" s="14" t="s">
        <v>714</v>
      </c>
      <c r="D44" s="40"/>
      <c r="E44" s="40"/>
      <c r="F44" s="40"/>
      <c r="G44" s="40"/>
      <c r="H44" s="40"/>
      <c r="I44" s="40"/>
      <c r="J44" s="40"/>
      <c r="K44" s="40"/>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4"/>
    </row>
    <row r="45" spans="2:34" ht="15" customHeight="1">
      <c r="K45" s="34"/>
      <c r="L45" s="34"/>
      <c r="M45" s="34"/>
      <c r="N45" s="34"/>
      <c r="O45" s="34"/>
      <c r="P45" s="34"/>
      <c r="Q45" s="34"/>
      <c r="R45" s="34"/>
      <c r="S45" s="34"/>
      <c r="T45" s="34"/>
      <c r="U45" s="34"/>
      <c r="V45" s="34"/>
      <c r="W45" s="34"/>
      <c r="X45" s="34"/>
      <c r="Y45" s="34"/>
      <c r="Z45" s="34"/>
      <c r="AA45" s="34"/>
      <c r="AB45" s="34"/>
      <c r="AC45" s="34"/>
      <c r="AD45" s="34"/>
      <c r="AE45" s="34"/>
      <c r="AF45" s="34"/>
      <c r="AG45" s="34"/>
      <c r="AH45" s="134"/>
    </row>
    <row r="46" spans="2:34" ht="15" customHeight="1">
      <c r="E46" s="25" t="s">
        <v>715</v>
      </c>
      <c r="F46" s="7" t="str">
        <f>Inputs!$D$7</f>
        <v>HUF</v>
      </c>
      <c r="K46" s="36">
        <f t="shared" ref="K46:AG46" si="4">K39</f>
        <v>0</v>
      </c>
      <c r="L46" s="36">
        <f t="shared" si="4"/>
        <v>0</v>
      </c>
      <c r="M46" s="36">
        <f t="shared" si="4"/>
        <v>177080.949888</v>
      </c>
      <c r="N46" s="36">
        <f t="shared" si="4"/>
        <v>357703.51877375995</v>
      </c>
      <c r="O46" s="36">
        <f t="shared" si="4"/>
        <v>342335.58693069813</v>
      </c>
      <c r="P46" s="36">
        <f t="shared" si="4"/>
        <v>326045.5791770526</v>
      </c>
      <c r="Q46" s="36">
        <f t="shared" si="4"/>
        <v>308778.17095818836</v>
      </c>
      <c r="R46" s="36">
        <f t="shared" si="4"/>
        <v>290474.71824619226</v>
      </c>
      <c r="S46" s="36">
        <f t="shared" si="4"/>
        <v>271073.05837147636</v>
      </c>
      <c r="T46" s="36">
        <f t="shared" si="4"/>
        <v>250507.29890427753</v>
      </c>
      <c r="U46" s="36">
        <f t="shared" si="4"/>
        <v>228707.59386904677</v>
      </c>
      <c r="V46" s="36">
        <f t="shared" si="4"/>
        <v>205599.90653170217</v>
      </c>
      <c r="W46" s="36">
        <f t="shared" si="4"/>
        <v>181105.75795411691</v>
      </c>
      <c r="X46" s="36">
        <f t="shared" si="4"/>
        <v>155141.96046187653</v>
      </c>
      <c r="Y46" s="36">
        <f t="shared" si="4"/>
        <v>127620.33512010172</v>
      </c>
      <c r="Z46" s="36">
        <f t="shared" si="4"/>
        <v>98447.412257820411</v>
      </c>
      <c r="AA46" s="36">
        <f t="shared" si="4"/>
        <v>67524.11402380222</v>
      </c>
      <c r="AB46" s="36">
        <f t="shared" si="4"/>
        <v>34745.417895742947</v>
      </c>
      <c r="AC46" s="36">
        <f t="shared" si="4"/>
        <v>1.1641532182693481E-10</v>
      </c>
      <c r="AD46" s="36">
        <f t="shared" si="4"/>
        <v>0</v>
      </c>
      <c r="AE46" s="36">
        <f t="shared" si="4"/>
        <v>0</v>
      </c>
      <c r="AF46" s="36">
        <f t="shared" si="4"/>
        <v>0</v>
      </c>
      <c r="AG46" s="36">
        <f t="shared" si="4"/>
        <v>0</v>
      </c>
      <c r="AH46" s="134"/>
    </row>
    <row r="47" spans="2:34" ht="15" customHeight="1">
      <c r="E47" s="25" t="s">
        <v>716</v>
      </c>
      <c r="F47" s="7" t="str">
        <f>Inputs!$D$7</f>
        <v>HUF</v>
      </c>
      <c r="I47" s="136">
        <f>SUM(K47:AG47)</f>
        <v>205373.48276183128</v>
      </c>
      <c r="K47" s="36">
        <f t="shared" ref="K47:AG47" si="5">K46*$G$33</f>
        <v>0</v>
      </c>
      <c r="L47" s="36">
        <f t="shared" si="5"/>
        <v>0</v>
      </c>
      <c r="M47" s="36">
        <f t="shared" si="5"/>
        <v>10624.85699328</v>
      </c>
      <c r="N47" s="36">
        <f t="shared" si="5"/>
        <v>21462.211126425595</v>
      </c>
      <c r="O47" s="36">
        <f t="shared" si="5"/>
        <v>20540.135215841889</v>
      </c>
      <c r="P47" s="36">
        <f t="shared" si="5"/>
        <v>19562.734750623156</v>
      </c>
      <c r="Q47" s="36">
        <f t="shared" si="5"/>
        <v>18526.6902574913</v>
      </c>
      <c r="R47" s="36">
        <f t="shared" si="5"/>
        <v>17428.483094771535</v>
      </c>
      <c r="S47" s="36">
        <f t="shared" si="5"/>
        <v>16264.383502288581</v>
      </c>
      <c r="T47" s="36">
        <f t="shared" si="5"/>
        <v>15030.437934256652</v>
      </c>
      <c r="U47" s="36">
        <f t="shared" si="5"/>
        <v>13722.455632142806</v>
      </c>
      <c r="V47" s="36">
        <f t="shared" si="5"/>
        <v>12335.99439190213</v>
      </c>
      <c r="W47" s="36">
        <f t="shared" si="5"/>
        <v>10866.345477247014</v>
      </c>
      <c r="X47" s="36">
        <f t="shared" si="5"/>
        <v>9308.517627712592</v>
      </c>
      <c r="Y47" s="36">
        <f t="shared" si="5"/>
        <v>7657.2201072061034</v>
      </c>
      <c r="Z47" s="36">
        <f t="shared" si="5"/>
        <v>5906.8447354692244</v>
      </c>
      <c r="AA47" s="36">
        <f t="shared" si="5"/>
        <v>4051.4468414281332</v>
      </c>
      <c r="AB47" s="36">
        <f t="shared" si="5"/>
        <v>2084.7250737445765</v>
      </c>
      <c r="AC47" s="36">
        <f t="shared" si="5"/>
        <v>6.9849193096160886E-12</v>
      </c>
      <c r="AD47" s="36">
        <f t="shared" si="5"/>
        <v>0</v>
      </c>
      <c r="AE47" s="36">
        <f t="shared" si="5"/>
        <v>0</v>
      </c>
      <c r="AF47" s="36">
        <f t="shared" si="5"/>
        <v>0</v>
      </c>
      <c r="AG47" s="36">
        <f t="shared" si="5"/>
        <v>0</v>
      </c>
      <c r="AH47" s="134"/>
    </row>
    <row r="48" spans="2:34" ht="15" customHeight="1">
      <c r="E48" s="25" t="s">
        <v>717</v>
      </c>
      <c r="F48" s="7" t="str">
        <f>Inputs!$D$7</f>
        <v>HUF</v>
      </c>
      <c r="I48" s="136">
        <f>SUM(K48:AG48)</f>
        <v>10624.85699328</v>
      </c>
      <c r="K48" s="36">
        <f t="shared" ref="K48:AG48" si="6">K47*K10</f>
        <v>0</v>
      </c>
      <c r="L48" s="36">
        <f t="shared" si="6"/>
        <v>0</v>
      </c>
      <c r="M48" s="36">
        <f t="shared" si="6"/>
        <v>10624.85699328</v>
      </c>
      <c r="N48" s="36">
        <f t="shared" si="6"/>
        <v>0</v>
      </c>
      <c r="O48" s="36">
        <f t="shared" si="6"/>
        <v>0</v>
      </c>
      <c r="P48" s="36">
        <f t="shared" si="6"/>
        <v>0</v>
      </c>
      <c r="Q48" s="36">
        <f t="shared" si="6"/>
        <v>0</v>
      </c>
      <c r="R48" s="36">
        <f t="shared" si="6"/>
        <v>0</v>
      </c>
      <c r="S48" s="36">
        <f t="shared" si="6"/>
        <v>0</v>
      </c>
      <c r="T48" s="36">
        <f t="shared" si="6"/>
        <v>0</v>
      </c>
      <c r="U48" s="36">
        <f t="shared" si="6"/>
        <v>0</v>
      </c>
      <c r="V48" s="36">
        <f t="shared" si="6"/>
        <v>0</v>
      </c>
      <c r="W48" s="36">
        <f t="shared" si="6"/>
        <v>0</v>
      </c>
      <c r="X48" s="36">
        <f t="shared" si="6"/>
        <v>0</v>
      </c>
      <c r="Y48" s="36">
        <f t="shared" si="6"/>
        <v>0</v>
      </c>
      <c r="Z48" s="36">
        <f t="shared" si="6"/>
        <v>0</v>
      </c>
      <c r="AA48" s="36">
        <f t="shared" si="6"/>
        <v>0</v>
      </c>
      <c r="AB48" s="36">
        <f t="shared" si="6"/>
        <v>0</v>
      </c>
      <c r="AC48" s="36">
        <f t="shared" si="6"/>
        <v>0</v>
      </c>
      <c r="AD48" s="36">
        <f t="shared" si="6"/>
        <v>0</v>
      </c>
      <c r="AE48" s="36">
        <f t="shared" si="6"/>
        <v>0</v>
      </c>
      <c r="AF48" s="36">
        <f t="shared" si="6"/>
        <v>0</v>
      </c>
      <c r="AG48" s="36">
        <f t="shared" si="6"/>
        <v>0</v>
      </c>
      <c r="AH48" s="134"/>
    </row>
    <row r="49" spans="2:34" ht="15" customHeight="1">
      <c r="E49" s="25" t="s">
        <v>718</v>
      </c>
      <c r="F49" s="7" t="str">
        <f>Inputs!$D$7</f>
        <v>HUF</v>
      </c>
      <c r="I49" s="136">
        <f>SUM(K49:AG49)</f>
        <v>194748.62576855128</v>
      </c>
      <c r="K49" s="36">
        <f t="shared" ref="K49:AG49" si="7">K47*K11</f>
        <v>0</v>
      </c>
      <c r="L49" s="36">
        <f t="shared" si="7"/>
        <v>0</v>
      </c>
      <c r="M49" s="36">
        <f t="shared" si="7"/>
        <v>0</v>
      </c>
      <c r="N49" s="36">
        <f t="shared" si="7"/>
        <v>21462.211126425595</v>
      </c>
      <c r="O49" s="36">
        <f t="shared" si="7"/>
        <v>20540.135215841889</v>
      </c>
      <c r="P49" s="36">
        <f t="shared" si="7"/>
        <v>19562.734750623156</v>
      </c>
      <c r="Q49" s="36">
        <f t="shared" si="7"/>
        <v>18526.6902574913</v>
      </c>
      <c r="R49" s="36">
        <f t="shared" si="7"/>
        <v>17428.483094771535</v>
      </c>
      <c r="S49" s="36">
        <f t="shared" si="7"/>
        <v>16264.383502288581</v>
      </c>
      <c r="T49" s="36">
        <f t="shared" si="7"/>
        <v>15030.437934256652</v>
      </c>
      <c r="U49" s="36">
        <f t="shared" si="7"/>
        <v>13722.455632142806</v>
      </c>
      <c r="V49" s="36">
        <f t="shared" si="7"/>
        <v>12335.99439190213</v>
      </c>
      <c r="W49" s="36">
        <f t="shared" si="7"/>
        <v>10866.345477247014</v>
      </c>
      <c r="X49" s="36">
        <f t="shared" si="7"/>
        <v>9308.517627712592</v>
      </c>
      <c r="Y49" s="36">
        <f t="shared" si="7"/>
        <v>7657.2201072061034</v>
      </c>
      <c r="Z49" s="36">
        <f t="shared" si="7"/>
        <v>5906.8447354692244</v>
      </c>
      <c r="AA49" s="36">
        <f t="shared" si="7"/>
        <v>4051.4468414281332</v>
      </c>
      <c r="AB49" s="36">
        <f t="shared" si="7"/>
        <v>2084.7250737445765</v>
      </c>
      <c r="AC49" s="36">
        <f t="shared" si="7"/>
        <v>6.9849193096160886E-12</v>
      </c>
      <c r="AD49" s="36">
        <f t="shared" si="7"/>
        <v>0</v>
      </c>
      <c r="AE49" s="36">
        <f t="shared" si="7"/>
        <v>0</v>
      </c>
      <c r="AF49" s="36">
        <f t="shared" si="7"/>
        <v>0</v>
      </c>
      <c r="AG49" s="36">
        <f t="shared" si="7"/>
        <v>0</v>
      </c>
      <c r="AH49" s="134"/>
    </row>
    <row r="50" spans="2:34" ht="15" customHeight="1">
      <c r="E50" s="25" t="s">
        <v>719</v>
      </c>
      <c r="F50" s="7" t="s">
        <v>229</v>
      </c>
      <c r="I50" s="136">
        <f>SUM(K50:AG50)</f>
        <v>3577.0351877375997</v>
      </c>
      <c r="K50" s="36">
        <f>K72*Inputs!$I$129</f>
        <v>0</v>
      </c>
      <c r="L50" s="36">
        <f>L72*Inputs!$I$129</f>
        <v>1770.8094988800001</v>
      </c>
      <c r="M50" s="36">
        <f>M72*Inputs!$I$129</f>
        <v>1806.2256888575998</v>
      </c>
      <c r="N50" s="36">
        <f>N72*Inputs!$I$129</f>
        <v>0</v>
      </c>
      <c r="O50" s="36">
        <f>O72*Inputs!$I$129</f>
        <v>0</v>
      </c>
      <c r="P50" s="36">
        <f>P72*Inputs!$I$129</f>
        <v>0</v>
      </c>
      <c r="Q50" s="36">
        <f>Q72*Inputs!$I$129</f>
        <v>0</v>
      </c>
      <c r="R50" s="36">
        <f>R72*Inputs!$I$129</f>
        <v>0</v>
      </c>
      <c r="S50" s="36">
        <f>S72*Inputs!$I$129</f>
        <v>0</v>
      </c>
      <c r="T50" s="36">
        <f>T72*Inputs!$I$129</f>
        <v>0</v>
      </c>
      <c r="U50" s="36">
        <f>U72*Inputs!$I$129</f>
        <v>0</v>
      </c>
      <c r="V50" s="36">
        <f>V72*Inputs!$I$129</f>
        <v>0</v>
      </c>
      <c r="W50" s="36">
        <f>W72*Inputs!$I$129</f>
        <v>0</v>
      </c>
      <c r="X50" s="36">
        <f>X72*Inputs!$I$129</f>
        <v>0</v>
      </c>
      <c r="Y50" s="36">
        <f>Y72*Inputs!$I$129</f>
        <v>0</v>
      </c>
      <c r="Z50" s="36">
        <f>Z72*Inputs!$I$129</f>
        <v>0</v>
      </c>
      <c r="AA50" s="36">
        <f>AA72*Inputs!$I$129</f>
        <v>0</v>
      </c>
      <c r="AB50" s="36">
        <f>AB72*Inputs!$I$129</f>
        <v>0</v>
      </c>
      <c r="AC50" s="36">
        <f>AC72*Inputs!$I$129</f>
        <v>0</v>
      </c>
      <c r="AD50" s="36">
        <f>AD72*Inputs!$I$129</f>
        <v>0</v>
      </c>
      <c r="AE50" s="36">
        <f>AE72*Inputs!$I$129</f>
        <v>0</v>
      </c>
      <c r="AF50" s="36">
        <f>AF72*Inputs!$I$129</f>
        <v>0</v>
      </c>
      <c r="AG50" s="36">
        <f>AG72*Inputs!$I$129</f>
        <v>0</v>
      </c>
      <c r="AH50" s="134"/>
    </row>
    <row r="51" spans="2:34" ht="15" customHeight="1">
      <c r="B51" s="40"/>
      <c r="C51" s="14" t="s">
        <v>720</v>
      </c>
      <c r="D51" s="40"/>
      <c r="E51" s="40"/>
      <c r="F51" s="40"/>
      <c r="G51" s="40"/>
      <c r="H51" s="40"/>
      <c r="I51" s="40"/>
      <c r="J51" s="40"/>
      <c r="K51" s="40"/>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4"/>
    </row>
    <row r="52" spans="2:34" ht="15" customHeight="1">
      <c r="E52" s="11" t="s">
        <v>721</v>
      </c>
      <c r="F52" s="7" t="str">
        <f>Inputs!$D$7</f>
        <v>HUF</v>
      </c>
      <c r="I52" s="136">
        <f>SUM(K52:AG52)</f>
        <v>357703.51877375995</v>
      </c>
      <c r="K52" s="36">
        <f>IF(Inputs!$I$130="Equal principal",MIN($G$54,K39),MIN(MAX(0,$G$53-K47),K39))*K11</f>
        <v>0</v>
      </c>
      <c r="L52" s="36">
        <f>IF(Inputs!$I$130="Equal principal",MIN($G$54,L39),MIN(MAX(0,$G$53-L47),L39))*L11</f>
        <v>0</v>
      </c>
      <c r="M52" s="36">
        <f>IF(Inputs!$I$130="Equal principal",MIN($G$54,M39),MIN(MAX(0,$G$53-M47),M39))*M11</f>
        <v>0</v>
      </c>
      <c r="N52" s="36">
        <f>IF(Inputs!$I$130="Equal principal",MIN($G$54,N39),MIN(MAX(0,$G$53-N47),N39))*N11</f>
        <v>15367.931843061815</v>
      </c>
      <c r="O52" s="36">
        <f>IF(Inputs!$I$130="Equal principal",MIN($G$54,O39),MIN(MAX(0,$G$53-O47),O39))*O11</f>
        <v>16290.007753645521</v>
      </c>
      <c r="P52" s="36">
        <f>IF(Inputs!$I$130="Equal principal",MIN($G$54,P39),MIN(MAX(0,$G$53-P47),P39))*P11</f>
        <v>17267.408218864253</v>
      </c>
      <c r="Q52" s="36">
        <f>IF(Inputs!$I$130="Equal principal",MIN($G$54,Q39),MIN(MAX(0,$G$53-Q47),Q39))*Q11</f>
        <v>18303.452711996109</v>
      </c>
      <c r="R52" s="36">
        <f>IF(Inputs!$I$130="Equal principal",MIN($G$54,R39),MIN(MAX(0,$G$53-R47),R39))*R11</f>
        <v>19401.659874715875</v>
      </c>
      <c r="S52" s="36">
        <f>IF(Inputs!$I$130="Equal principal",MIN($G$54,S39),MIN(MAX(0,$G$53-S47),S39))*S11</f>
        <v>20565.759467198826</v>
      </c>
      <c r="T52" s="36">
        <f>IF(Inputs!$I$130="Equal principal",MIN($G$54,T39),MIN(MAX(0,$G$53-T47),T39))*T11</f>
        <v>21799.705035230756</v>
      </c>
      <c r="U52" s="36">
        <f>IF(Inputs!$I$130="Equal principal",MIN($G$54,U39),MIN(MAX(0,$G$53-U47),U39))*U11</f>
        <v>23107.687337344603</v>
      </c>
      <c r="V52" s="36">
        <f>IF(Inputs!$I$130="Equal principal",MIN($G$54,V39),MIN(MAX(0,$G$53-V47),V39))*V11</f>
        <v>24494.148577585278</v>
      </c>
      <c r="W52" s="36">
        <f>IF(Inputs!$I$130="Equal principal",MIN($G$54,W39),MIN(MAX(0,$G$53-W47),W39))*W11</f>
        <v>25963.797492240396</v>
      </c>
      <c r="X52" s="36">
        <f>IF(Inputs!$I$130="Equal principal",MIN($G$54,X39),MIN(MAX(0,$G$53-X47),X39))*X11</f>
        <v>27521.625341774816</v>
      </c>
      <c r="Y52" s="36">
        <f>IF(Inputs!$I$130="Equal principal",MIN($G$54,Y39),MIN(MAX(0,$G$53-Y47),Y39))*Y11</f>
        <v>29172.922862281306</v>
      </c>
      <c r="Z52" s="36">
        <f>IF(Inputs!$I$130="Equal principal",MIN($G$54,Z39),MIN(MAX(0,$G$53-Z47),Z39))*Z11</f>
        <v>30923.298234018184</v>
      </c>
      <c r="AA52" s="36">
        <f>IF(Inputs!$I$130="Equal principal",MIN($G$54,AA39),MIN(MAX(0,$G$53-AA47),AA39))*AA11</f>
        <v>32778.696128059273</v>
      </c>
      <c r="AB52" s="36">
        <f>IF(Inputs!$I$130="Equal principal",MIN($G$54,AB39),MIN(MAX(0,$G$53-AB47),AB39))*AB11</f>
        <v>34745.41789574283</v>
      </c>
      <c r="AC52" s="36">
        <f>IF(Inputs!$I$130="Equal principal",MIN($G$54,AC39),MIN(MAX(0,$G$53-AC47),AC39))*AC11</f>
        <v>1.1641532182693481E-10</v>
      </c>
      <c r="AD52" s="36">
        <f>IF(Inputs!$I$130="Equal principal",MIN($G$54,AD39),MIN(MAX(0,$G$53-AD47),AD39))*AD11</f>
        <v>0</v>
      </c>
      <c r="AE52" s="36">
        <f>IF(Inputs!$I$130="Equal principal",MIN($G$54,AE39),MIN(MAX(0,$G$53-AE47),AE39))*AE11</f>
        <v>0</v>
      </c>
      <c r="AF52" s="36">
        <f>IF(Inputs!$I$130="Equal principal",MIN($G$54,AF39),MIN(MAX(0,$G$53-AF47),AF39))*AF11</f>
        <v>0</v>
      </c>
      <c r="AG52" s="36">
        <f>IF(Inputs!$I$130="Equal principal",MIN($G$54,AG39),MIN(MAX(0,$G$53-AG47),AG39))*AG11</f>
        <v>0</v>
      </c>
      <c r="AH52" s="134"/>
    </row>
    <row r="53" spans="2:34" ht="15" customHeight="1">
      <c r="E53" s="25" t="s">
        <v>722</v>
      </c>
      <c r="F53" s="7" t="str">
        <f>Inputs!$D$7</f>
        <v>HUF</v>
      </c>
      <c r="G53" s="267">
        <f>IFERROR(-PMT($G$33,$G$32,$G$21),0)</f>
        <v>36830.14296948741</v>
      </c>
      <c r="K53" s="34"/>
      <c r="L53" s="34"/>
      <c r="M53" s="34"/>
      <c r="N53" s="34"/>
      <c r="O53" s="34"/>
      <c r="P53" s="34"/>
      <c r="Q53" s="34"/>
      <c r="R53" s="34"/>
      <c r="S53" s="34"/>
      <c r="T53" s="34"/>
      <c r="U53" s="34"/>
      <c r="V53" s="34"/>
      <c r="W53" s="34"/>
      <c r="X53" s="34"/>
      <c r="Y53" s="34"/>
      <c r="Z53" s="34"/>
      <c r="AA53" s="34"/>
      <c r="AB53" s="34"/>
      <c r="AC53" s="34"/>
      <c r="AD53" s="34"/>
      <c r="AE53" s="34"/>
      <c r="AF53" s="34"/>
      <c r="AG53" s="34"/>
      <c r="AH53" s="134"/>
    </row>
    <row r="54" spans="2:34" ht="15" customHeight="1">
      <c r="E54" s="25" t="s">
        <v>437</v>
      </c>
      <c r="F54" s="7" t="str">
        <f>Inputs!$D$7</f>
        <v>HUF</v>
      </c>
      <c r="G54" s="267">
        <f>IFERROR($G$21/$G$32,0)</f>
        <v>23846.901251583997</v>
      </c>
      <c r="K54" s="34"/>
      <c r="L54" s="34"/>
      <c r="M54" s="34"/>
      <c r="N54" s="34"/>
      <c r="O54" s="34"/>
      <c r="P54" s="34"/>
      <c r="Q54" s="34"/>
      <c r="R54" s="34"/>
      <c r="S54" s="34"/>
      <c r="T54" s="34"/>
      <c r="U54" s="34"/>
      <c r="V54" s="34"/>
      <c r="W54" s="34"/>
      <c r="X54" s="34"/>
      <c r="Y54" s="34"/>
      <c r="Z54" s="34"/>
      <c r="AA54" s="34"/>
      <c r="AB54" s="34"/>
      <c r="AC54" s="34"/>
      <c r="AD54" s="34"/>
      <c r="AE54" s="34"/>
      <c r="AF54" s="34"/>
      <c r="AG54" s="34"/>
      <c r="AH54" s="134"/>
    </row>
    <row r="55" spans="2:34" ht="15" customHeight="1">
      <c r="K55" s="34"/>
      <c r="L55" s="34"/>
      <c r="M55" s="34"/>
      <c r="N55" s="34"/>
      <c r="O55" s="34"/>
      <c r="P55" s="34"/>
      <c r="Q55" s="34"/>
      <c r="R55" s="34"/>
      <c r="S55" s="34"/>
      <c r="T55" s="34"/>
      <c r="U55" s="34"/>
      <c r="V55" s="34"/>
      <c r="W55" s="34"/>
      <c r="X55" s="34"/>
      <c r="Y55" s="34"/>
      <c r="Z55" s="34"/>
      <c r="AA55" s="34"/>
      <c r="AB55" s="34"/>
      <c r="AC55" s="34"/>
      <c r="AD55" s="34"/>
      <c r="AE55" s="34"/>
      <c r="AF55" s="34"/>
      <c r="AG55" s="34"/>
      <c r="AH55" s="134"/>
    </row>
    <row r="56" spans="2:34" ht="15" customHeight="1">
      <c r="B56" s="40"/>
      <c r="C56" s="14" t="s">
        <v>723</v>
      </c>
      <c r="D56" s="40"/>
      <c r="E56" s="40"/>
      <c r="F56" s="40"/>
      <c r="G56" s="40"/>
      <c r="H56" s="40"/>
      <c r="I56" s="40"/>
      <c r="J56" s="40"/>
      <c r="K56" s="40"/>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4"/>
    </row>
    <row r="57" spans="2:34" ht="15" customHeight="1">
      <c r="K57" s="34"/>
      <c r="L57" s="34"/>
      <c r="M57" s="34"/>
      <c r="N57" s="34"/>
      <c r="O57" s="34"/>
      <c r="P57" s="34"/>
      <c r="Q57" s="34"/>
      <c r="R57" s="34"/>
      <c r="S57" s="34"/>
      <c r="T57" s="34"/>
      <c r="U57" s="34"/>
      <c r="V57" s="34"/>
      <c r="W57" s="34"/>
      <c r="X57" s="34"/>
      <c r="Y57" s="34"/>
      <c r="Z57" s="34"/>
      <c r="AA57" s="34"/>
      <c r="AB57" s="34"/>
      <c r="AC57" s="34"/>
      <c r="AD57" s="34"/>
      <c r="AE57" s="34"/>
      <c r="AF57" s="34"/>
      <c r="AG57" s="34"/>
      <c r="AH57" s="134"/>
    </row>
    <row r="58" spans="2:34" ht="15" customHeight="1">
      <c r="E58" s="25" t="s">
        <v>724</v>
      </c>
      <c r="F58" s="7" t="str">
        <f>Inputs!$D$7</f>
        <v>HUF</v>
      </c>
      <c r="K58" s="36">
        <f>Operations!K91+Tax!K35</f>
        <v>0</v>
      </c>
      <c r="L58" s="36">
        <f>Operations!L91+Tax!L35</f>
        <v>0</v>
      </c>
      <c r="M58" s="36">
        <f>Operations!M91+Tax!M35</f>
        <v>0</v>
      </c>
      <c r="N58" s="36">
        <f>Operations!N91+Tax!N35</f>
        <v>68596.941725047218</v>
      </c>
      <c r="O58" s="36">
        <f>Operations!O91+Tax!O35</f>
        <v>70545.095744079095</v>
      </c>
      <c r="P58" s="36">
        <f>Operations!P91+Tax!P35</f>
        <v>72548.131453004884</v>
      </c>
      <c r="Q58" s="36">
        <f>Operations!Q91+Tax!Q35</f>
        <v>74607.582445353226</v>
      </c>
      <c r="R58" s="36">
        <f>Operations!R91+Tax!R35</f>
        <v>76725.024824754102</v>
      </c>
      <c r="S58" s="36">
        <f>Operations!S91+Tax!S35</f>
        <v>78902.078373805969</v>
      </c>
      <c r="T58" s="36">
        <f>Operations!T91+Tax!T35</f>
        <v>81140.407754818749</v>
      </c>
      <c r="U58" s="36">
        <f>Operations!U91+Tax!U35</f>
        <v>83441.723743293682</v>
      </c>
      <c r="V58" s="36">
        <f>Operations!V91+Tax!V35</f>
        <v>85807.784495025597</v>
      </c>
      <c r="W58" s="36">
        <f>Operations!W91+Tax!W35</f>
        <v>88240.396847735639</v>
      </c>
      <c r="X58" s="36">
        <f>Operations!X91+Tax!X35</f>
        <v>88103.320003145287</v>
      </c>
      <c r="Y58" s="36">
        <f>Operations!Y91+Tax!Y35</f>
        <v>86731.869756590429</v>
      </c>
      <c r="Z58" s="36">
        <f>Operations!Z91+Tax!Z35</f>
        <v>88754.403327953478</v>
      </c>
      <c r="AA58" s="36">
        <f>Operations!AA91+Tax!AA35</f>
        <v>90880.216071222021</v>
      </c>
      <c r="AB58" s="36">
        <f>Operations!AB91+Tax!AB35</f>
        <v>93101.60061577562</v>
      </c>
      <c r="AC58" s="36">
        <f>Operations!AC91+Tax!AC35</f>
        <v>95412.672660590644</v>
      </c>
      <c r="AD58" s="36">
        <f>Operations!AD91+Tax!AD35</f>
        <v>98007.892138093535</v>
      </c>
      <c r="AE58" s="36">
        <f>Operations!AE91+Tax!AE35</f>
        <v>100697.05837179767</v>
      </c>
      <c r="AF58" s="36">
        <f>Operations!AF91+Tax!AF35</f>
        <v>103478.57661462261</v>
      </c>
      <c r="AG58" s="36">
        <f>Operations!AG91+Tax!AG35</f>
        <v>106351.64951162715</v>
      </c>
      <c r="AH58" s="134"/>
    </row>
    <row r="59" spans="2:34" ht="15" customHeight="1">
      <c r="E59" s="25" t="s">
        <v>725</v>
      </c>
      <c r="F59" s="7" t="str">
        <f>Inputs!$D$7</f>
        <v>HUF</v>
      </c>
      <c r="K59" s="36">
        <f t="shared" ref="K59:AG59" si="8">K52+K49</f>
        <v>0</v>
      </c>
      <c r="L59" s="36">
        <f t="shared" si="8"/>
        <v>0</v>
      </c>
      <c r="M59" s="36">
        <f t="shared" si="8"/>
        <v>0</v>
      </c>
      <c r="N59" s="36">
        <f t="shared" si="8"/>
        <v>36830.14296948741</v>
      </c>
      <c r="O59" s="36">
        <f t="shared" si="8"/>
        <v>36830.14296948741</v>
      </c>
      <c r="P59" s="36">
        <f t="shared" si="8"/>
        <v>36830.14296948741</v>
      </c>
      <c r="Q59" s="36">
        <f t="shared" si="8"/>
        <v>36830.14296948741</v>
      </c>
      <c r="R59" s="36">
        <f t="shared" si="8"/>
        <v>36830.14296948741</v>
      </c>
      <c r="S59" s="36">
        <f t="shared" si="8"/>
        <v>36830.14296948741</v>
      </c>
      <c r="T59" s="36">
        <f t="shared" si="8"/>
        <v>36830.14296948741</v>
      </c>
      <c r="U59" s="36">
        <f t="shared" si="8"/>
        <v>36830.14296948741</v>
      </c>
      <c r="V59" s="36">
        <f t="shared" si="8"/>
        <v>36830.14296948741</v>
      </c>
      <c r="W59" s="36">
        <f t="shared" si="8"/>
        <v>36830.14296948741</v>
      </c>
      <c r="X59" s="36">
        <f t="shared" si="8"/>
        <v>36830.14296948741</v>
      </c>
      <c r="Y59" s="36">
        <f t="shared" si="8"/>
        <v>36830.14296948741</v>
      </c>
      <c r="Z59" s="36">
        <f t="shared" si="8"/>
        <v>36830.14296948741</v>
      </c>
      <c r="AA59" s="36">
        <f t="shared" si="8"/>
        <v>36830.14296948741</v>
      </c>
      <c r="AB59" s="36">
        <f t="shared" si="8"/>
        <v>36830.14296948741</v>
      </c>
      <c r="AC59" s="36">
        <f t="shared" si="8"/>
        <v>1.2340024113655091E-10</v>
      </c>
      <c r="AD59" s="36">
        <f t="shared" si="8"/>
        <v>0</v>
      </c>
      <c r="AE59" s="36">
        <f t="shared" si="8"/>
        <v>0</v>
      </c>
      <c r="AF59" s="36">
        <f t="shared" si="8"/>
        <v>0</v>
      </c>
      <c r="AG59" s="36">
        <f t="shared" si="8"/>
        <v>0</v>
      </c>
      <c r="AH59" s="134"/>
    </row>
    <row r="60" spans="2:34" ht="15" customHeight="1">
      <c r="E60" s="25" t="s">
        <v>726</v>
      </c>
      <c r="F60" s="7"/>
      <c r="K60" s="104">
        <f t="shared" ref="K60:AG60" si="9">IF(K59&gt;1,K58/K59,0)</f>
        <v>0</v>
      </c>
      <c r="L60" s="104">
        <f t="shared" si="9"/>
        <v>0</v>
      </c>
      <c r="M60" s="104">
        <f t="shared" si="9"/>
        <v>0</v>
      </c>
      <c r="N60" s="104">
        <f t="shared" si="9"/>
        <v>1.8625217334040105</v>
      </c>
      <c r="O60" s="104">
        <f t="shared" si="9"/>
        <v>1.9154173743643472</v>
      </c>
      <c r="P60" s="104">
        <f t="shared" si="9"/>
        <v>1.9698031450246793</v>
      </c>
      <c r="Q60" s="104">
        <f t="shared" si="9"/>
        <v>2.025720685015076</v>
      </c>
      <c r="R60" s="104">
        <f t="shared" si="9"/>
        <v>2.0832127881859792</v>
      </c>
      <c r="S60" s="104">
        <f t="shared" si="9"/>
        <v>2.1423234343449007</v>
      </c>
      <c r="T60" s="104">
        <f t="shared" si="9"/>
        <v>2.2030978218586057</v>
      </c>
      <c r="U60" s="104">
        <f t="shared" si="9"/>
        <v>2.2655824011441519</v>
      </c>
      <c r="V60" s="104">
        <f t="shared" si="9"/>
        <v>2.3298249090728373</v>
      </c>
      <c r="W60" s="104">
        <f t="shared" si="9"/>
        <v>2.3958744043117068</v>
      </c>
      <c r="X60" s="104">
        <f t="shared" si="9"/>
        <v>2.3921525386457514</v>
      </c>
      <c r="Y60" s="104">
        <f t="shared" si="9"/>
        <v>2.354915369957836</v>
      </c>
      <c r="Z60" s="104">
        <f t="shared" si="9"/>
        <v>2.4098305402040836</v>
      </c>
      <c r="AA60" s="104">
        <f t="shared" si="9"/>
        <v>2.4675499127579648</v>
      </c>
      <c r="AB60" s="104">
        <f t="shared" si="9"/>
        <v>2.5278642196123786</v>
      </c>
      <c r="AC60" s="104">
        <f t="shared" si="9"/>
        <v>0</v>
      </c>
      <c r="AD60" s="104">
        <f t="shared" si="9"/>
        <v>0</v>
      </c>
      <c r="AE60" s="104">
        <f t="shared" si="9"/>
        <v>0</v>
      </c>
      <c r="AF60" s="104">
        <f t="shared" si="9"/>
        <v>0</v>
      </c>
      <c r="AG60" s="104">
        <f t="shared" si="9"/>
        <v>0</v>
      </c>
      <c r="AH60" s="134"/>
    </row>
    <row r="61" spans="2:34" ht="15" customHeight="1">
      <c r="E61" s="25" t="s">
        <v>727</v>
      </c>
      <c r="F61" s="7"/>
      <c r="G61" s="268">
        <f>Inputs!$I$131</f>
        <v>1.3</v>
      </c>
      <c r="K61" s="34"/>
      <c r="L61" s="34"/>
      <c r="M61" s="34"/>
      <c r="N61" s="34"/>
      <c r="O61" s="34"/>
      <c r="P61" s="34"/>
      <c r="Q61" s="34"/>
      <c r="R61" s="34"/>
      <c r="S61" s="34"/>
      <c r="T61" s="34"/>
      <c r="U61" s="34"/>
      <c r="V61" s="34"/>
      <c r="W61" s="34"/>
      <c r="X61" s="34"/>
      <c r="Y61" s="34"/>
      <c r="Z61" s="34"/>
      <c r="AA61" s="34"/>
      <c r="AB61" s="34"/>
      <c r="AC61" s="34"/>
      <c r="AD61" s="34"/>
      <c r="AE61" s="34"/>
      <c r="AF61" s="34"/>
      <c r="AG61" s="34"/>
      <c r="AH61" s="134"/>
    </row>
    <row r="62" spans="2:34" ht="15" customHeight="1">
      <c r="E62" s="25" t="s">
        <v>728</v>
      </c>
      <c r="F62" s="7"/>
      <c r="G62" s="269">
        <f t="array" ref="G62">MIN(IF(K59:AG59&gt;1,K60:AG60))</f>
        <v>1.8625217334040105</v>
      </c>
      <c r="K62" s="34"/>
      <c r="L62" s="34"/>
      <c r="M62" s="34"/>
      <c r="N62" s="34"/>
      <c r="O62" s="34"/>
      <c r="P62" s="34"/>
      <c r="Q62" s="34"/>
      <c r="R62" s="34"/>
      <c r="S62" s="34"/>
      <c r="T62" s="34"/>
      <c r="U62" s="34"/>
      <c r="V62" s="34"/>
      <c r="W62" s="34"/>
      <c r="X62" s="34"/>
      <c r="Y62" s="34"/>
      <c r="Z62" s="34"/>
      <c r="AA62" s="34"/>
      <c r="AB62" s="34"/>
      <c r="AC62" s="34"/>
      <c r="AD62" s="34"/>
      <c r="AE62" s="34"/>
      <c r="AF62" s="34"/>
      <c r="AG62" s="34"/>
      <c r="AH62" s="134"/>
    </row>
    <row r="63" spans="2:34" ht="15" customHeight="1">
      <c r="E63" s="25" t="s">
        <v>63</v>
      </c>
      <c r="F63" s="7" t="s">
        <v>226</v>
      </c>
      <c r="G63" s="269">
        <f>IFERROR(AVERAGEIF(K59:AG59,"&gt;1",K60:AG60),0)</f>
        <v>2.2230460851936207</v>
      </c>
      <c r="K63" s="34"/>
      <c r="L63" s="34"/>
      <c r="M63" s="34"/>
      <c r="N63" s="34"/>
      <c r="O63" s="34"/>
      <c r="P63" s="34"/>
      <c r="Q63" s="34"/>
      <c r="R63" s="34"/>
      <c r="S63" s="34"/>
      <c r="T63" s="34"/>
      <c r="U63" s="34"/>
      <c r="V63" s="34"/>
      <c r="W63" s="34"/>
      <c r="X63" s="34"/>
      <c r="Y63" s="34"/>
      <c r="Z63" s="34"/>
      <c r="AA63" s="34"/>
      <c r="AB63" s="34"/>
      <c r="AC63" s="34"/>
      <c r="AD63" s="34"/>
      <c r="AE63" s="34"/>
      <c r="AF63" s="34"/>
      <c r="AG63" s="34"/>
      <c r="AH63" s="134"/>
    </row>
    <row r="64" spans="2:34" ht="15" customHeight="1">
      <c r="E64" s="25" t="s">
        <v>729</v>
      </c>
      <c r="G64" s="270">
        <f>IF(G62&gt;=G61,0,1)</f>
        <v>0</v>
      </c>
      <c r="K64" s="34"/>
      <c r="L64" s="34"/>
      <c r="M64" s="34"/>
      <c r="N64" s="34"/>
      <c r="O64" s="34"/>
      <c r="P64" s="34"/>
      <c r="Q64" s="34"/>
      <c r="R64" s="34"/>
      <c r="S64" s="34"/>
      <c r="T64" s="34"/>
      <c r="U64" s="34"/>
      <c r="V64" s="34"/>
      <c r="W64" s="34"/>
      <c r="X64" s="34"/>
      <c r="Y64" s="34"/>
      <c r="Z64" s="34"/>
      <c r="AA64" s="34"/>
      <c r="AB64" s="34"/>
      <c r="AC64" s="34"/>
      <c r="AD64" s="34"/>
      <c r="AE64" s="34"/>
      <c r="AF64" s="34"/>
      <c r="AG64" s="34"/>
      <c r="AH64" s="134"/>
    </row>
    <row r="65" spans="2:34" ht="15" customHeight="1">
      <c r="K65" s="34"/>
      <c r="L65" s="34"/>
      <c r="M65" s="34"/>
      <c r="N65" s="34"/>
      <c r="O65" s="34"/>
      <c r="P65" s="34"/>
      <c r="Q65" s="34"/>
      <c r="R65" s="34"/>
      <c r="S65" s="34"/>
      <c r="T65" s="34"/>
      <c r="U65" s="34"/>
      <c r="V65" s="34"/>
      <c r="W65" s="34"/>
      <c r="X65" s="34"/>
      <c r="Y65" s="34"/>
      <c r="Z65" s="34"/>
      <c r="AA65" s="34"/>
      <c r="AB65" s="34"/>
      <c r="AC65" s="34"/>
      <c r="AD65" s="34"/>
      <c r="AE65" s="34"/>
      <c r="AF65" s="34"/>
      <c r="AG65" s="34"/>
      <c r="AH65" s="134"/>
    </row>
    <row r="66" spans="2:34" ht="15" customHeight="1">
      <c r="E66" s="25" t="s">
        <v>730</v>
      </c>
      <c r="G66" s="33">
        <f>IF(ABS(AG42)&lt;1,0,1)</f>
        <v>0</v>
      </c>
      <c r="K66" s="34"/>
      <c r="L66" s="34"/>
      <c r="M66" s="34"/>
      <c r="N66" s="34"/>
      <c r="O66" s="34"/>
      <c r="P66" s="34"/>
      <c r="Q66" s="34"/>
      <c r="R66" s="34"/>
      <c r="S66" s="34"/>
      <c r="T66" s="34"/>
      <c r="U66" s="34"/>
      <c r="V66" s="34"/>
      <c r="W66" s="34"/>
      <c r="X66" s="34"/>
      <c r="Y66" s="34"/>
      <c r="Z66" s="34"/>
      <c r="AA66" s="34"/>
      <c r="AB66" s="34"/>
      <c r="AC66" s="34"/>
      <c r="AD66" s="34"/>
      <c r="AE66" s="34"/>
      <c r="AF66" s="34"/>
      <c r="AG66" s="34"/>
      <c r="AH66" s="134"/>
    </row>
    <row r="67" spans="2:34" ht="15" customHeight="1">
      <c r="K67" s="34"/>
      <c r="L67" s="34"/>
      <c r="M67" s="34"/>
      <c r="N67" s="34"/>
      <c r="O67" s="34"/>
      <c r="P67" s="34"/>
      <c r="Q67" s="34"/>
      <c r="R67" s="34"/>
      <c r="S67" s="34"/>
      <c r="T67" s="34"/>
      <c r="U67" s="34"/>
      <c r="V67" s="34"/>
      <c r="W67" s="34"/>
      <c r="X67" s="34"/>
      <c r="Y67" s="34"/>
      <c r="Z67" s="34"/>
      <c r="AA67" s="34"/>
      <c r="AB67" s="34"/>
      <c r="AC67" s="34"/>
      <c r="AD67" s="34"/>
      <c r="AE67" s="34"/>
      <c r="AF67" s="34"/>
      <c r="AG67" s="34"/>
      <c r="AH67" s="134"/>
    </row>
    <row r="68" spans="2:34" ht="15" customHeight="1">
      <c r="B68" s="40"/>
      <c r="C68" s="14" t="s">
        <v>731</v>
      </c>
      <c r="D68" s="40"/>
      <c r="E68" s="40"/>
      <c r="F68" s="40"/>
      <c r="G68" s="40"/>
      <c r="H68" s="40"/>
      <c r="I68" s="40"/>
      <c r="J68" s="40"/>
      <c r="K68" s="40"/>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4"/>
    </row>
    <row r="69" spans="2:34" ht="15" customHeight="1">
      <c r="H69" s="33">
        <f>IF(ABS(I76)&lt;1,0,1)</f>
        <v>0</v>
      </c>
      <c r="K69" s="34"/>
      <c r="L69" s="34"/>
      <c r="M69" s="34"/>
      <c r="N69" s="34"/>
      <c r="O69" s="34"/>
      <c r="P69" s="34"/>
      <c r="Q69" s="34"/>
      <c r="R69" s="34"/>
      <c r="S69" s="34"/>
      <c r="T69" s="34"/>
      <c r="U69" s="34"/>
      <c r="V69" s="34"/>
      <c r="W69" s="34"/>
      <c r="X69" s="34"/>
      <c r="Y69" s="34"/>
      <c r="Z69" s="34"/>
      <c r="AA69" s="34"/>
      <c r="AB69" s="34"/>
      <c r="AC69" s="34"/>
      <c r="AD69" s="34"/>
      <c r="AE69" s="34"/>
      <c r="AF69" s="34"/>
      <c r="AG69" s="34"/>
      <c r="AH69" s="134"/>
    </row>
    <row r="70" spans="2:34" ht="15" customHeight="1">
      <c r="E70" s="25" t="s">
        <v>732</v>
      </c>
      <c r="F70" s="7" t="str">
        <f>Inputs!$D$7</f>
        <v>HUF</v>
      </c>
      <c r="I70" s="136">
        <f t="shared" ref="I70:I76" si="10">SUM(K70:AG70)</f>
        <v>715407.0375475199</v>
      </c>
      <c r="K70" s="36">
        <f>Construction!K58</f>
        <v>0</v>
      </c>
      <c r="L70" s="36">
        <f>Construction!L58</f>
        <v>354161.89977600001</v>
      </c>
      <c r="M70" s="36">
        <f>Construction!M58</f>
        <v>361245.13777151995</v>
      </c>
      <c r="N70" s="36">
        <f>Construction!N58</f>
        <v>0</v>
      </c>
      <c r="O70" s="36">
        <f>Construction!O58</f>
        <v>0</v>
      </c>
      <c r="P70" s="36">
        <f>Construction!P58</f>
        <v>0</v>
      </c>
      <c r="Q70" s="36">
        <f>Construction!Q58</f>
        <v>0</v>
      </c>
      <c r="R70" s="36">
        <f>Construction!R58</f>
        <v>0</v>
      </c>
      <c r="S70" s="36">
        <f>Construction!S58</f>
        <v>0</v>
      </c>
      <c r="T70" s="36">
        <f>Construction!T58</f>
        <v>0</v>
      </c>
      <c r="U70" s="36">
        <f>Construction!U58</f>
        <v>0</v>
      </c>
      <c r="V70" s="36">
        <f>Construction!V58</f>
        <v>0</v>
      </c>
      <c r="W70" s="36">
        <f>Construction!W58</f>
        <v>0</v>
      </c>
      <c r="X70" s="36">
        <f>Construction!X58</f>
        <v>0</v>
      </c>
      <c r="Y70" s="36">
        <f>Construction!Y58</f>
        <v>0</v>
      </c>
      <c r="Z70" s="36">
        <f>Construction!Z58</f>
        <v>0</v>
      </c>
      <c r="AA70" s="36">
        <f>Construction!AA58</f>
        <v>0</v>
      </c>
      <c r="AB70" s="36">
        <f>Construction!AB58</f>
        <v>0</v>
      </c>
      <c r="AC70" s="36">
        <f>Construction!AC58</f>
        <v>0</v>
      </c>
      <c r="AD70" s="36">
        <f>Construction!AD58</f>
        <v>0</v>
      </c>
      <c r="AE70" s="36">
        <f>Construction!AE58</f>
        <v>0</v>
      </c>
      <c r="AF70" s="36">
        <f>Construction!AF58</f>
        <v>0</v>
      </c>
      <c r="AG70" s="36">
        <f>Construction!AG58</f>
        <v>0</v>
      </c>
      <c r="AH70" s="134"/>
    </row>
    <row r="71" spans="2:34" ht="15" customHeight="1">
      <c r="E71" s="25" t="s">
        <v>733</v>
      </c>
      <c r="F71" s="7" t="str">
        <f>Inputs!$D$7</f>
        <v>HUF</v>
      </c>
      <c r="I71" s="136">
        <f t="shared" si="10"/>
        <v>214622.111264256</v>
      </c>
      <c r="K71" s="36">
        <f t="shared" ref="K71:AG71" si="11">K70*$G$18</f>
        <v>0</v>
      </c>
      <c r="L71" s="36">
        <f t="shared" si="11"/>
        <v>106248.5699328</v>
      </c>
      <c r="M71" s="36">
        <f t="shared" si="11"/>
        <v>108373.54133145598</v>
      </c>
      <c r="N71" s="36">
        <f t="shared" si="11"/>
        <v>0</v>
      </c>
      <c r="O71" s="36">
        <f t="shared" si="11"/>
        <v>0</v>
      </c>
      <c r="P71" s="36">
        <f t="shared" si="11"/>
        <v>0</v>
      </c>
      <c r="Q71" s="36">
        <f t="shared" si="11"/>
        <v>0</v>
      </c>
      <c r="R71" s="36">
        <f t="shared" si="11"/>
        <v>0</v>
      </c>
      <c r="S71" s="36">
        <f t="shared" si="11"/>
        <v>0</v>
      </c>
      <c r="T71" s="36">
        <f t="shared" si="11"/>
        <v>0</v>
      </c>
      <c r="U71" s="36">
        <f t="shared" si="11"/>
        <v>0</v>
      </c>
      <c r="V71" s="36">
        <f t="shared" si="11"/>
        <v>0</v>
      </c>
      <c r="W71" s="36">
        <f t="shared" si="11"/>
        <v>0</v>
      </c>
      <c r="X71" s="36">
        <f t="shared" si="11"/>
        <v>0</v>
      </c>
      <c r="Y71" s="36">
        <f t="shared" si="11"/>
        <v>0</v>
      </c>
      <c r="Z71" s="36">
        <f t="shared" si="11"/>
        <v>0</v>
      </c>
      <c r="AA71" s="36">
        <f t="shared" si="11"/>
        <v>0</v>
      </c>
      <c r="AB71" s="36">
        <f t="shared" si="11"/>
        <v>0</v>
      </c>
      <c r="AC71" s="36">
        <f t="shared" si="11"/>
        <v>0</v>
      </c>
      <c r="AD71" s="36">
        <f t="shared" si="11"/>
        <v>0</v>
      </c>
      <c r="AE71" s="36">
        <f t="shared" si="11"/>
        <v>0</v>
      </c>
      <c r="AF71" s="36">
        <f t="shared" si="11"/>
        <v>0</v>
      </c>
      <c r="AG71" s="36">
        <f t="shared" si="11"/>
        <v>0</v>
      </c>
      <c r="AH71" s="134"/>
    </row>
    <row r="72" spans="2:34" ht="15" customHeight="1">
      <c r="E72" s="25" t="s">
        <v>704</v>
      </c>
      <c r="F72" s="7" t="str">
        <f>Inputs!$D$7</f>
        <v>HUF</v>
      </c>
      <c r="I72" s="136">
        <f t="shared" si="10"/>
        <v>357703.51877375995</v>
      </c>
      <c r="K72" s="36">
        <f t="shared" ref="K72:AG72" si="12">K28</f>
        <v>0</v>
      </c>
      <c r="L72" s="36">
        <f t="shared" si="12"/>
        <v>177080.949888</v>
      </c>
      <c r="M72" s="36">
        <f t="shared" si="12"/>
        <v>180622.56888575997</v>
      </c>
      <c r="N72" s="36">
        <f t="shared" si="12"/>
        <v>0</v>
      </c>
      <c r="O72" s="36">
        <f t="shared" si="12"/>
        <v>0</v>
      </c>
      <c r="P72" s="36">
        <f t="shared" si="12"/>
        <v>0</v>
      </c>
      <c r="Q72" s="36">
        <f t="shared" si="12"/>
        <v>0</v>
      </c>
      <c r="R72" s="36">
        <f t="shared" si="12"/>
        <v>0</v>
      </c>
      <c r="S72" s="36">
        <f t="shared" si="12"/>
        <v>0</v>
      </c>
      <c r="T72" s="36">
        <f t="shared" si="12"/>
        <v>0</v>
      </c>
      <c r="U72" s="36">
        <f t="shared" si="12"/>
        <v>0</v>
      </c>
      <c r="V72" s="36">
        <f t="shared" si="12"/>
        <v>0</v>
      </c>
      <c r="W72" s="36">
        <f t="shared" si="12"/>
        <v>0</v>
      </c>
      <c r="X72" s="36">
        <f t="shared" si="12"/>
        <v>0</v>
      </c>
      <c r="Y72" s="36">
        <f t="shared" si="12"/>
        <v>0</v>
      </c>
      <c r="Z72" s="36">
        <f t="shared" si="12"/>
        <v>0</v>
      </c>
      <c r="AA72" s="36">
        <f t="shared" si="12"/>
        <v>0</v>
      </c>
      <c r="AB72" s="36">
        <f t="shared" si="12"/>
        <v>0</v>
      </c>
      <c r="AC72" s="36">
        <f t="shared" si="12"/>
        <v>0</v>
      </c>
      <c r="AD72" s="36">
        <f t="shared" si="12"/>
        <v>0</v>
      </c>
      <c r="AE72" s="36">
        <f t="shared" si="12"/>
        <v>0</v>
      </c>
      <c r="AF72" s="36">
        <f t="shared" si="12"/>
        <v>0</v>
      </c>
      <c r="AG72" s="36">
        <f t="shared" si="12"/>
        <v>0</v>
      </c>
      <c r="AH72" s="134"/>
    </row>
    <row r="73" spans="2:34" ht="15" customHeight="1">
      <c r="E73" s="25" t="s">
        <v>734</v>
      </c>
      <c r="F73" s="7" t="str">
        <f>Inputs!$D$7</f>
        <v>HUF</v>
      </c>
      <c r="I73" s="136">
        <f t="shared" si="10"/>
        <v>157283.29969052156</v>
      </c>
      <c r="K73" s="36">
        <f>(K70-K71-K72)+K48+K50</f>
        <v>0</v>
      </c>
      <c r="L73" s="36">
        <f t="shared" ref="L73:AG73" si="13">(L70-L71-L72)+L48+L50</f>
        <v>72603.189454079984</v>
      </c>
      <c r="M73" s="36">
        <f t="shared" si="13"/>
        <v>84680.110236441586</v>
      </c>
      <c r="N73" s="36">
        <f t="shared" si="13"/>
        <v>0</v>
      </c>
      <c r="O73" s="36">
        <f t="shared" si="13"/>
        <v>0</v>
      </c>
      <c r="P73" s="36">
        <f t="shared" si="13"/>
        <v>0</v>
      </c>
      <c r="Q73" s="36">
        <f t="shared" si="13"/>
        <v>0</v>
      </c>
      <c r="R73" s="36">
        <f t="shared" si="13"/>
        <v>0</v>
      </c>
      <c r="S73" s="36">
        <f t="shared" si="13"/>
        <v>0</v>
      </c>
      <c r="T73" s="36">
        <f t="shared" si="13"/>
        <v>0</v>
      </c>
      <c r="U73" s="36">
        <f t="shared" si="13"/>
        <v>0</v>
      </c>
      <c r="V73" s="36">
        <f t="shared" si="13"/>
        <v>0</v>
      </c>
      <c r="W73" s="36">
        <f t="shared" si="13"/>
        <v>0</v>
      </c>
      <c r="X73" s="36">
        <f t="shared" si="13"/>
        <v>0</v>
      </c>
      <c r="Y73" s="36">
        <f t="shared" si="13"/>
        <v>0</v>
      </c>
      <c r="Z73" s="36">
        <f t="shared" si="13"/>
        <v>0</v>
      </c>
      <c r="AA73" s="36">
        <f t="shared" si="13"/>
        <v>0</v>
      </c>
      <c r="AB73" s="36">
        <f t="shared" si="13"/>
        <v>0</v>
      </c>
      <c r="AC73" s="36">
        <f t="shared" si="13"/>
        <v>0</v>
      </c>
      <c r="AD73" s="36">
        <f t="shared" si="13"/>
        <v>0</v>
      </c>
      <c r="AE73" s="36">
        <f t="shared" si="13"/>
        <v>0</v>
      </c>
      <c r="AF73" s="36">
        <f t="shared" si="13"/>
        <v>0</v>
      </c>
      <c r="AG73" s="36">
        <f t="shared" si="13"/>
        <v>0</v>
      </c>
      <c r="AH73" s="134"/>
    </row>
    <row r="74" spans="2:34" ht="15" customHeight="1">
      <c r="E74" s="11" t="s">
        <v>735</v>
      </c>
      <c r="F74" s="7" t="str">
        <f>Inputs!$D$7</f>
        <v>HUF</v>
      </c>
      <c r="I74" s="136">
        <f t="shared" si="10"/>
        <v>729608.92972853757</v>
      </c>
      <c r="K74" s="36">
        <f t="shared" ref="K74:AG74" si="14">K71+K72+K73</f>
        <v>0</v>
      </c>
      <c r="L74" s="36">
        <f t="shared" si="14"/>
        <v>355932.70927488001</v>
      </c>
      <c r="M74" s="36">
        <f t="shared" si="14"/>
        <v>373676.22045365756</v>
      </c>
      <c r="N74" s="36">
        <f t="shared" si="14"/>
        <v>0</v>
      </c>
      <c r="O74" s="36">
        <f t="shared" si="14"/>
        <v>0</v>
      </c>
      <c r="P74" s="36">
        <f t="shared" si="14"/>
        <v>0</v>
      </c>
      <c r="Q74" s="36">
        <f t="shared" si="14"/>
        <v>0</v>
      </c>
      <c r="R74" s="36">
        <f t="shared" si="14"/>
        <v>0</v>
      </c>
      <c r="S74" s="36">
        <f t="shared" si="14"/>
        <v>0</v>
      </c>
      <c r="T74" s="36">
        <f t="shared" si="14"/>
        <v>0</v>
      </c>
      <c r="U74" s="36">
        <f t="shared" si="14"/>
        <v>0</v>
      </c>
      <c r="V74" s="36">
        <f t="shared" si="14"/>
        <v>0</v>
      </c>
      <c r="W74" s="36">
        <f t="shared" si="14"/>
        <v>0</v>
      </c>
      <c r="X74" s="36">
        <f t="shared" si="14"/>
        <v>0</v>
      </c>
      <c r="Y74" s="36">
        <f t="shared" si="14"/>
        <v>0</v>
      </c>
      <c r="Z74" s="36">
        <f t="shared" si="14"/>
        <v>0</v>
      </c>
      <c r="AA74" s="36">
        <f t="shared" si="14"/>
        <v>0</v>
      </c>
      <c r="AB74" s="36">
        <f t="shared" si="14"/>
        <v>0</v>
      </c>
      <c r="AC74" s="36">
        <f t="shared" si="14"/>
        <v>0</v>
      </c>
      <c r="AD74" s="36">
        <f t="shared" si="14"/>
        <v>0</v>
      </c>
      <c r="AE74" s="36">
        <f t="shared" si="14"/>
        <v>0</v>
      </c>
      <c r="AF74" s="36">
        <f t="shared" si="14"/>
        <v>0</v>
      </c>
      <c r="AG74" s="36">
        <f t="shared" si="14"/>
        <v>0</v>
      </c>
      <c r="AH74" s="134"/>
    </row>
    <row r="75" spans="2:34" ht="15" customHeight="1">
      <c r="E75" s="11" t="s">
        <v>736</v>
      </c>
      <c r="F75" s="7" t="str">
        <f>Inputs!$D$7</f>
        <v>HUF</v>
      </c>
      <c r="I75" s="136">
        <f t="shared" si="10"/>
        <v>729608.92972853757</v>
      </c>
      <c r="K75" s="36">
        <f>K70+K48+K50</f>
        <v>0</v>
      </c>
      <c r="L75" s="36">
        <f t="shared" ref="L75:AG75" si="15">L70+L48+L50</f>
        <v>355932.70927488001</v>
      </c>
      <c r="M75" s="36">
        <f t="shared" si="15"/>
        <v>373676.22045365756</v>
      </c>
      <c r="N75" s="36">
        <f t="shared" si="15"/>
        <v>0</v>
      </c>
      <c r="O75" s="36">
        <f t="shared" si="15"/>
        <v>0</v>
      </c>
      <c r="P75" s="36">
        <f t="shared" si="15"/>
        <v>0</v>
      </c>
      <c r="Q75" s="36">
        <f t="shared" si="15"/>
        <v>0</v>
      </c>
      <c r="R75" s="36">
        <f t="shared" si="15"/>
        <v>0</v>
      </c>
      <c r="S75" s="36">
        <f t="shared" si="15"/>
        <v>0</v>
      </c>
      <c r="T75" s="36">
        <f t="shared" si="15"/>
        <v>0</v>
      </c>
      <c r="U75" s="36">
        <f t="shared" si="15"/>
        <v>0</v>
      </c>
      <c r="V75" s="36">
        <f t="shared" si="15"/>
        <v>0</v>
      </c>
      <c r="W75" s="36">
        <f t="shared" si="15"/>
        <v>0</v>
      </c>
      <c r="X75" s="36">
        <f t="shared" si="15"/>
        <v>0</v>
      </c>
      <c r="Y75" s="36">
        <f t="shared" si="15"/>
        <v>0</v>
      </c>
      <c r="Z75" s="36">
        <f t="shared" si="15"/>
        <v>0</v>
      </c>
      <c r="AA75" s="36">
        <f t="shared" si="15"/>
        <v>0</v>
      </c>
      <c r="AB75" s="36">
        <f t="shared" si="15"/>
        <v>0</v>
      </c>
      <c r="AC75" s="36">
        <f t="shared" si="15"/>
        <v>0</v>
      </c>
      <c r="AD75" s="36">
        <f t="shared" si="15"/>
        <v>0</v>
      </c>
      <c r="AE75" s="36">
        <f t="shared" si="15"/>
        <v>0</v>
      </c>
      <c r="AF75" s="36">
        <f t="shared" si="15"/>
        <v>0</v>
      </c>
      <c r="AG75" s="36">
        <f t="shared" si="15"/>
        <v>0</v>
      </c>
      <c r="AH75" s="134"/>
    </row>
    <row r="76" spans="2:34" ht="15" customHeight="1">
      <c r="E76" s="25" t="s">
        <v>737</v>
      </c>
      <c r="I76" s="137">
        <f t="shared" si="10"/>
        <v>0</v>
      </c>
      <c r="K76" s="138">
        <f t="shared" ref="K76:AG76" si="16">IF(ABS(K74-K75)&lt;1,0,1)</f>
        <v>0</v>
      </c>
      <c r="L76" s="138">
        <f t="shared" si="16"/>
        <v>0</v>
      </c>
      <c r="M76" s="138">
        <f t="shared" si="16"/>
        <v>0</v>
      </c>
      <c r="N76" s="138">
        <f t="shared" si="16"/>
        <v>0</v>
      </c>
      <c r="O76" s="138">
        <f t="shared" si="16"/>
        <v>0</v>
      </c>
      <c r="P76" s="138">
        <f t="shared" si="16"/>
        <v>0</v>
      </c>
      <c r="Q76" s="138">
        <f t="shared" si="16"/>
        <v>0</v>
      </c>
      <c r="R76" s="138">
        <f t="shared" si="16"/>
        <v>0</v>
      </c>
      <c r="S76" s="138">
        <f t="shared" si="16"/>
        <v>0</v>
      </c>
      <c r="T76" s="138">
        <f t="shared" si="16"/>
        <v>0</v>
      </c>
      <c r="U76" s="138">
        <f t="shared" si="16"/>
        <v>0</v>
      </c>
      <c r="V76" s="138">
        <f t="shared" si="16"/>
        <v>0</v>
      </c>
      <c r="W76" s="138">
        <f t="shared" si="16"/>
        <v>0</v>
      </c>
      <c r="X76" s="138">
        <f t="shared" si="16"/>
        <v>0</v>
      </c>
      <c r="Y76" s="138">
        <f t="shared" si="16"/>
        <v>0</v>
      </c>
      <c r="Z76" s="138">
        <f t="shared" si="16"/>
        <v>0</v>
      </c>
      <c r="AA76" s="138">
        <f t="shared" si="16"/>
        <v>0</v>
      </c>
      <c r="AB76" s="138">
        <f t="shared" si="16"/>
        <v>0</v>
      </c>
      <c r="AC76" s="138">
        <f t="shared" si="16"/>
        <v>0</v>
      </c>
      <c r="AD76" s="138">
        <f t="shared" si="16"/>
        <v>0</v>
      </c>
      <c r="AE76" s="138">
        <f t="shared" si="16"/>
        <v>0</v>
      </c>
      <c r="AF76" s="138">
        <f t="shared" si="16"/>
        <v>0</v>
      </c>
      <c r="AG76" s="138">
        <f t="shared" si="16"/>
        <v>0</v>
      </c>
      <c r="AH76" s="134"/>
    </row>
    <row r="77" spans="2:34" ht="15" customHeight="1">
      <c r="K77" s="34"/>
      <c r="L77" s="34"/>
      <c r="M77" s="34"/>
      <c r="N77" s="34"/>
      <c r="O77" s="34"/>
      <c r="P77" s="34"/>
      <c r="Q77" s="34"/>
      <c r="R77" s="34"/>
      <c r="S77" s="34"/>
      <c r="T77" s="34"/>
      <c r="U77" s="34"/>
      <c r="V77" s="34"/>
      <c r="W77" s="34"/>
      <c r="X77" s="34"/>
      <c r="Y77" s="34"/>
      <c r="Z77" s="34"/>
      <c r="AA77" s="34"/>
      <c r="AB77" s="34"/>
      <c r="AC77" s="34"/>
      <c r="AD77" s="34"/>
      <c r="AE77" s="34"/>
      <c r="AF77" s="34"/>
      <c r="AG77" s="34"/>
      <c r="AH77" s="134"/>
    </row>
    <row r="78" spans="2:34" ht="15" customHeight="1">
      <c r="K78" s="34"/>
      <c r="L78" s="34"/>
      <c r="M78" s="34"/>
      <c r="N78" s="34"/>
      <c r="O78" s="34"/>
      <c r="P78" s="34"/>
      <c r="Q78" s="34"/>
      <c r="R78" s="34"/>
      <c r="S78" s="34"/>
      <c r="T78" s="34"/>
      <c r="U78" s="34"/>
      <c r="V78" s="34"/>
      <c r="W78" s="34"/>
      <c r="X78" s="34"/>
      <c r="Y78" s="34"/>
      <c r="Z78" s="34"/>
      <c r="AA78" s="34"/>
      <c r="AB78" s="34"/>
      <c r="AC78" s="34"/>
      <c r="AD78" s="34"/>
      <c r="AE78" s="34"/>
      <c r="AF78" s="34"/>
      <c r="AG78" s="34"/>
      <c r="AH78" s="134"/>
    </row>
    <row r="79" spans="2:34" ht="15" customHeight="1">
      <c r="K79" s="34"/>
      <c r="L79" s="34"/>
      <c r="M79" s="34"/>
      <c r="N79" s="34"/>
      <c r="O79" s="34"/>
      <c r="P79" s="34"/>
      <c r="Q79" s="34"/>
      <c r="R79" s="34"/>
      <c r="S79" s="34"/>
      <c r="T79" s="34"/>
      <c r="U79" s="34"/>
      <c r="V79" s="34"/>
      <c r="W79" s="34"/>
      <c r="X79" s="34"/>
      <c r="Y79" s="34"/>
      <c r="Z79" s="34"/>
      <c r="AA79" s="34"/>
      <c r="AB79" s="34"/>
      <c r="AC79" s="34"/>
      <c r="AD79" s="34"/>
      <c r="AE79" s="34"/>
      <c r="AF79" s="34"/>
      <c r="AG79" s="34"/>
      <c r="AH79" s="134"/>
    </row>
    <row r="80" spans="2:34" ht="15" customHeight="1">
      <c r="K80" s="34"/>
      <c r="L80" s="34"/>
      <c r="M80" s="34"/>
      <c r="N80" s="34"/>
      <c r="O80" s="34"/>
      <c r="P80" s="34"/>
      <c r="Q80" s="34"/>
      <c r="R80" s="34"/>
      <c r="S80" s="34"/>
      <c r="T80" s="34"/>
      <c r="U80" s="34"/>
      <c r="V80" s="34"/>
      <c r="W80" s="34"/>
      <c r="X80" s="34"/>
      <c r="Y80" s="34"/>
      <c r="Z80" s="34"/>
      <c r="AA80" s="34"/>
      <c r="AB80" s="34"/>
      <c r="AC80" s="34"/>
      <c r="AD80" s="34"/>
      <c r="AE80" s="34"/>
      <c r="AF80" s="34"/>
      <c r="AG80" s="34"/>
      <c r="AH80" s="134"/>
    </row>
    <row r="81" spans="11:34" ht="15" customHeight="1">
      <c r="K81" s="34"/>
      <c r="L81" s="34"/>
      <c r="M81" s="34"/>
      <c r="N81" s="34"/>
      <c r="O81" s="34"/>
      <c r="P81" s="34"/>
      <c r="Q81" s="34"/>
      <c r="R81" s="34"/>
      <c r="S81" s="34"/>
      <c r="T81" s="34"/>
      <c r="U81" s="34"/>
      <c r="V81" s="34"/>
      <c r="W81" s="34"/>
      <c r="X81" s="34"/>
      <c r="Y81" s="34"/>
      <c r="Z81" s="34"/>
      <c r="AA81" s="34"/>
      <c r="AB81" s="34"/>
      <c r="AC81" s="34"/>
      <c r="AD81" s="34"/>
      <c r="AE81" s="34"/>
      <c r="AF81" s="34"/>
      <c r="AG81" s="34"/>
      <c r="AH81" s="134"/>
    </row>
    <row r="82" spans="11:34" ht="15" customHeight="1">
      <c r="K82" s="34"/>
      <c r="L82" s="34"/>
      <c r="M82" s="34"/>
      <c r="N82" s="34"/>
      <c r="O82" s="34"/>
      <c r="P82" s="34"/>
      <c r="Q82" s="34"/>
      <c r="R82" s="34"/>
      <c r="S82" s="34"/>
      <c r="T82" s="34"/>
      <c r="U82" s="34"/>
      <c r="V82" s="34"/>
      <c r="W82" s="34"/>
      <c r="X82" s="34"/>
      <c r="Y82" s="34"/>
      <c r="Z82" s="34"/>
      <c r="AA82" s="34"/>
      <c r="AB82" s="34"/>
      <c r="AC82" s="34"/>
      <c r="AD82" s="34"/>
      <c r="AE82" s="34"/>
      <c r="AF82" s="34"/>
      <c r="AG82" s="34"/>
      <c r="AH82" s="134"/>
    </row>
    <row r="83" spans="11:34" ht="15" customHeight="1">
      <c r="K83" s="34"/>
      <c r="L83" s="34"/>
      <c r="M83" s="34"/>
      <c r="N83" s="34"/>
      <c r="O83" s="34"/>
      <c r="P83" s="34"/>
      <c r="Q83" s="34"/>
      <c r="R83" s="34"/>
      <c r="S83" s="34"/>
      <c r="T83" s="34"/>
      <c r="U83" s="34"/>
      <c r="V83" s="34"/>
      <c r="W83" s="34"/>
      <c r="X83" s="34"/>
      <c r="Y83" s="34"/>
      <c r="Z83" s="34"/>
      <c r="AA83" s="34"/>
      <c r="AB83" s="34"/>
      <c r="AC83" s="34"/>
      <c r="AD83" s="34"/>
      <c r="AE83" s="34"/>
      <c r="AF83" s="34"/>
      <c r="AG83" s="34"/>
      <c r="AH83" s="134"/>
    </row>
    <row r="84" spans="11:34" ht="15" customHeight="1">
      <c r="K84" s="34"/>
      <c r="L84" s="34"/>
      <c r="M84" s="34"/>
      <c r="N84" s="34"/>
      <c r="O84" s="34"/>
      <c r="P84" s="34"/>
      <c r="Q84" s="34"/>
      <c r="R84" s="34"/>
      <c r="S84" s="34"/>
      <c r="T84" s="34"/>
      <c r="U84" s="34"/>
      <c r="V84" s="34"/>
      <c r="W84" s="34"/>
      <c r="X84" s="34"/>
      <c r="Y84" s="34"/>
      <c r="Z84" s="34"/>
      <c r="AA84" s="34"/>
      <c r="AB84" s="34"/>
      <c r="AC84" s="34"/>
      <c r="AD84" s="34"/>
      <c r="AE84" s="34"/>
      <c r="AF84" s="34"/>
      <c r="AG84" s="34"/>
      <c r="AH84" s="134"/>
    </row>
    <row r="85" spans="11:34" ht="15" customHeight="1">
      <c r="K85" s="34"/>
      <c r="L85" s="34"/>
      <c r="M85" s="34"/>
      <c r="N85" s="34"/>
      <c r="O85" s="34"/>
      <c r="P85" s="34"/>
      <c r="Q85" s="34"/>
      <c r="R85" s="34"/>
      <c r="S85" s="34"/>
      <c r="T85" s="34"/>
      <c r="U85" s="34"/>
      <c r="V85" s="34"/>
      <c r="W85" s="34"/>
      <c r="X85" s="34"/>
      <c r="Y85" s="34"/>
      <c r="Z85" s="34"/>
      <c r="AA85" s="34"/>
      <c r="AB85" s="34"/>
      <c r="AC85" s="34"/>
      <c r="AD85" s="34"/>
      <c r="AE85" s="34"/>
      <c r="AF85" s="34"/>
      <c r="AG85" s="34"/>
      <c r="AH85" s="134"/>
    </row>
    <row r="86" spans="11:34" ht="15" customHeight="1">
      <c r="K86" s="34"/>
      <c r="L86" s="34"/>
      <c r="M86" s="34"/>
      <c r="N86" s="34"/>
      <c r="O86" s="34"/>
      <c r="P86" s="34"/>
      <c r="Q86" s="34"/>
      <c r="R86" s="34"/>
      <c r="S86" s="34"/>
      <c r="T86" s="34"/>
      <c r="U86" s="34"/>
      <c r="V86" s="34"/>
      <c r="W86" s="34"/>
      <c r="X86" s="34"/>
      <c r="Y86" s="34"/>
      <c r="Z86" s="34"/>
      <c r="AA86" s="34"/>
      <c r="AB86" s="34"/>
      <c r="AC86" s="34"/>
      <c r="AD86" s="34"/>
      <c r="AE86" s="34"/>
      <c r="AF86" s="34"/>
      <c r="AG86" s="34"/>
      <c r="AH86" s="134"/>
    </row>
    <row r="87" spans="11:34" ht="15" customHeight="1">
      <c r="K87" s="34"/>
      <c r="L87" s="34"/>
      <c r="M87" s="34"/>
      <c r="N87" s="34"/>
      <c r="O87" s="34"/>
      <c r="P87" s="34"/>
      <c r="Q87" s="34"/>
      <c r="R87" s="34"/>
      <c r="S87" s="34"/>
      <c r="T87" s="34"/>
      <c r="U87" s="34"/>
      <c r="V87" s="34"/>
      <c r="W87" s="34"/>
      <c r="X87" s="34"/>
      <c r="Y87" s="34"/>
      <c r="Z87" s="34"/>
      <c r="AA87" s="34"/>
      <c r="AB87" s="34"/>
      <c r="AC87" s="34"/>
      <c r="AD87" s="34"/>
      <c r="AE87" s="34"/>
      <c r="AF87" s="34"/>
      <c r="AG87" s="34"/>
      <c r="AH87" s="134"/>
    </row>
    <row r="88" spans="11:34" ht="15" customHeight="1">
      <c r="K88" s="34"/>
      <c r="L88" s="34"/>
      <c r="M88" s="34"/>
      <c r="N88" s="34"/>
      <c r="O88" s="34"/>
      <c r="P88" s="34"/>
      <c r="Q88" s="34"/>
      <c r="R88" s="34"/>
      <c r="S88" s="34"/>
      <c r="T88" s="34"/>
      <c r="U88" s="34"/>
      <c r="V88" s="34"/>
      <c r="W88" s="34"/>
      <c r="X88" s="34"/>
      <c r="Y88" s="34"/>
      <c r="Z88" s="34"/>
      <c r="AA88" s="34"/>
      <c r="AB88" s="34"/>
      <c r="AC88" s="34"/>
      <c r="AD88" s="34"/>
      <c r="AE88" s="34"/>
      <c r="AF88" s="34"/>
      <c r="AG88" s="34"/>
      <c r="AH88" s="134"/>
    </row>
    <row r="89" spans="11:34" ht="15" customHeight="1">
      <c r="K89" s="34"/>
      <c r="L89" s="34"/>
      <c r="M89" s="34"/>
      <c r="N89" s="34"/>
      <c r="O89" s="34"/>
      <c r="P89" s="34"/>
      <c r="Q89" s="34"/>
      <c r="R89" s="34"/>
      <c r="S89" s="34"/>
      <c r="T89" s="34"/>
      <c r="U89" s="34"/>
      <c r="V89" s="34"/>
      <c r="W89" s="34"/>
      <c r="X89" s="34"/>
      <c r="Y89" s="34"/>
      <c r="Z89" s="34"/>
      <c r="AA89" s="34"/>
      <c r="AB89" s="34"/>
      <c r="AC89" s="34"/>
      <c r="AD89" s="34"/>
      <c r="AE89" s="34"/>
      <c r="AF89" s="34"/>
      <c r="AG89" s="34"/>
      <c r="AH89" s="134"/>
    </row>
    <row r="90" spans="11:34" ht="15" customHeight="1">
      <c r="K90" s="34"/>
      <c r="L90" s="34"/>
      <c r="M90" s="34"/>
      <c r="N90" s="34"/>
      <c r="O90" s="34"/>
      <c r="P90" s="34"/>
      <c r="Q90" s="34"/>
      <c r="R90" s="34"/>
      <c r="S90" s="34"/>
      <c r="T90" s="34"/>
      <c r="U90" s="34"/>
      <c r="V90" s="34"/>
      <c r="W90" s="34"/>
      <c r="X90" s="34"/>
      <c r="Y90" s="34"/>
      <c r="Z90" s="34"/>
      <c r="AA90" s="34"/>
      <c r="AB90" s="34"/>
      <c r="AC90" s="34"/>
      <c r="AD90" s="34"/>
      <c r="AE90" s="34"/>
      <c r="AF90" s="34"/>
      <c r="AG90" s="34"/>
      <c r="AH90" s="134"/>
    </row>
    <row r="91" spans="11:34" ht="15" customHeight="1">
      <c r="K91" s="34"/>
      <c r="L91" s="34"/>
      <c r="M91" s="34"/>
      <c r="N91" s="34"/>
      <c r="O91" s="34"/>
      <c r="P91" s="34"/>
      <c r="Q91" s="34"/>
      <c r="R91" s="34"/>
      <c r="S91" s="34"/>
      <c r="T91" s="34"/>
      <c r="U91" s="34"/>
      <c r="V91" s="34"/>
      <c r="W91" s="34"/>
      <c r="X91" s="34"/>
      <c r="Y91" s="34"/>
      <c r="Z91" s="34"/>
      <c r="AA91" s="34"/>
      <c r="AB91" s="34"/>
      <c r="AC91" s="34"/>
      <c r="AD91" s="34"/>
      <c r="AE91" s="34"/>
      <c r="AF91" s="34"/>
      <c r="AG91" s="34"/>
      <c r="AH91" s="134"/>
    </row>
  </sheetData>
  <conditionalFormatting sqref="K10:AG11">
    <cfRule type="cellIs" dxfId="4" priority="2" operator="equal">
      <formula>1</formula>
    </cfRule>
  </conditionalFormatting>
  <conditionalFormatting sqref="K34:AG34">
    <cfRule type="cellIs" dxfId="3" priority="1" operator="equal">
      <formula>1</formula>
    </cfRule>
  </conditionalFormatting>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B2:AH65"/>
  <sheetViews>
    <sheetView showGridLines="0" zoomScale="55" zoomScaleNormal="55" workbookViewId="0">
      <pane xSplit="10" ySplit="13" topLeftCell="K54" activePane="bottomRight" state="frozen"/>
      <selection pane="bottomRight" activeCell="J25" sqref="J25"/>
      <selection pane="bottomLeft" activeCell="A14" sqref="A14"/>
      <selection pane="topRight" activeCell="K1" sqref="K1"/>
    </sheetView>
  </sheetViews>
  <sheetFormatPr defaultColWidth="8.7109375" defaultRowHeight="14.25"/>
  <cols>
    <col min="1" max="1" width="2.85546875" customWidth="1"/>
    <col min="2" max="2" width="3.42578125" customWidth="1"/>
    <col min="3" max="3" width="7" customWidth="1"/>
    <col min="4" max="4" width="3.7109375" customWidth="1"/>
    <col min="5" max="5" width="44.7109375" customWidth="1"/>
    <col min="6" max="6" width="13.85546875" customWidth="1"/>
    <col min="7" max="7" width="13" customWidth="1"/>
    <col min="8" max="8" width="8.7109375" customWidth="1"/>
    <col min="9" max="9" width="13" customWidth="1"/>
    <col min="10" max="10" width="26.140625" customWidth="1"/>
    <col min="11" max="11" width="11.42578125" customWidth="1"/>
    <col min="12" max="12" width="10.5703125" customWidth="1"/>
    <col min="33" max="33" width="8.7109375" customWidth="1"/>
    <col min="34" max="34" width="0.85546875" style="277" customWidth="1"/>
  </cols>
  <sheetData>
    <row r="2" spans="2:33" ht="15" customHeight="1">
      <c r="C2" s="318"/>
      <c r="E2" s="11"/>
      <c r="G2" s="11" t="s">
        <v>615</v>
      </c>
      <c r="H2" s="205">
        <f>SUM(H14:H65)</f>
        <v>0</v>
      </c>
    </row>
    <row r="3" spans="2:33" ht="15" customHeight="1">
      <c r="C3" s="88" t="s">
        <v>567</v>
      </c>
      <c r="D3" s="317" t="str">
        <f>'Control Panel'!D7&amp;":"&amp;'Control Panel'!D6</f>
        <v>Cascade geothermal:Base</v>
      </c>
      <c r="E3" s="11"/>
      <c r="J3" s="11" t="s">
        <v>568</v>
      </c>
      <c r="K3" s="91">
        <f>Dates!O2</f>
        <v>46388</v>
      </c>
      <c r="L3" s="92">
        <f>Dates!P2</f>
        <v>46753</v>
      </c>
      <c r="M3" s="92">
        <f>Dates!Q2</f>
        <v>47119</v>
      </c>
      <c r="N3" s="92">
        <f>Dates!R2</f>
        <v>47484</v>
      </c>
      <c r="O3" s="92">
        <f>Dates!S2</f>
        <v>47849</v>
      </c>
      <c r="P3" s="92">
        <f>Dates!T2</f>
        <v>48214</v>
      </c>
      <c r="Q3" s="92">
        <f>Dates!U2</f>
        <v>48580</v>
      </c>
      <c r="R3" s="92">
        <f>Dates!V2</f>
        <v>48945</v>
      </c>
      <c r="S3" s="92">
        <f>Dates!W2</f>
        <v>49310</v>
      </c>
      <c r="T3" s="92">
        <f>Dates!X2</f>
        <v>49675</v>
      </c>
      <c r="U3" s="92">
        <f>Dates!Y2</f>
        <v>50041</v>
      </c>
      <c r="V3" s="92">
        <f>Dates!Z2</f>
        <v>50406</v>
      </c>
      <c r="W3" s="92">
        <f>Dates!AA2</f>
        <v>50771</v>
      </c>
      <c r="X3" s="92">
        <f>Dates!AB2</f>
        <v>51136</v>
      </c>
      <c r="Y3" s="92">
        <f>Dates!AC2</f>
        <v>51502</v>
      </c>
      <c r="Z3" s="92">
        <f>Dates!AD2</f>
        <v>51867</v>
      </c>
      <c r="AA3" s="92">
        <f>Dates!AE2</f>
        <v>52232</v>
      </c>
      <c r="AB3" s="92">
        <f>Dates!AF2</f>
        <v>52597</v>
      </c>
      <c r="AC3" s="92">
        <f>Dates!AG2</f>
        <v>52963</v>
      </c>
      <c r="AD3" s="92">
        <f>Dates!AH2</f>
        <v>53328</v>
      </c>
      <c r="AE3" s="92">
        <f>Dates!AI2</f>
        <v>53693</v>
      </c>
      <c r="AF3" s="92">
        <f>Dates!AJ2</f>
        <v>54058</v>
      </c>
      <c r="AG3" s="92">
        <f>Dates!AK2</f>
        <v>54424</v>
      </c>
    </row>
    <row r="4" spans="2:33" ht="15" customHeight="1">
      <c r="E4" s="11"/>
      <c r="J4" s="11" t="s">
        <v>569</v>
      </c>
      <c r="K4" s="93">
        <f>Dates!O3</f>
        <v>46752</v>
      </c>
      <c r="L4" s="94">
        <f>Dates!P3</f>
        <v>47118</v>
      </c>
      <c r="M4" s="94">
        <f>Dates!Q3</f>
        <v>47483</v>
      </c>
      <c r="N4" s="94">
        <f>Dates!R3</f>
        <v>47848</v>
      </c>
      <c r="O4" s="94">
        <f>Dates!S3</f>
        <v>48213</v>
      </c>
      <c r="P4" s="94">
        <f>Dates!T3</f>
        <v>48579</v>
      </c>
      <c r="Q4" s="94">
        <f>Dates!U3</f>
        <v>48944</v>
      </c>
      <c r="R4" s="94">
        <f>Dates!V3</f>
        <v>49309</v>
      </c>
      <c r="S4" s="94">
        <f>Dates!W3</f>
        <v>49674</v>
      </c>
      <c r="T4" s="94">
        <f>Dates!X3</f>
        <v>50040</v>
      </c>
      <c r="U4" s="94">
        <f>Dates!Y3</f>
        <v>50405</v>
      </c>
      <c r="V4" s="94">
        <f>Dates!Z3</f>
        <v>50770</v>
      </c>
      <c r="W4" s="94">
        <f>Dates!AA3</f>
        <v>51135</v>
      </c>
      <c r="X4" s="94">
        <f>Dates!AB3</f>
        <v>51501</v>
      </c>
      <c r="Y4" s="94">
        <f>Dates!AC3</f>
        <v>51866</v>
      </c>
      <c r="Z4" s="94">
        <f>Dates!AD3</f>
        <v>52231</v>
      </c>
      <c r="AA4" s="94">
        <f>Dates!AE3</f>
        <v>52596</v>
      </c>
      <c r="AB4" s="94">
        <f>Dates!AF3</f>
        <v>52962</v>
      </c>
      <c r="AC4" s="94">
        <f>Dates!AG3</f>
        <v>53327</v>
      </c>
      <c r="AD4" s="94">
        <f>Dates!AH3</f>
        <v>53692</v>
      </c>
      <c r="AE4" s="94">
        <f>Dates!AI3</f>
        <v>54057</v>
      </c>
      <c r="AF4" s="94">
        <f>Dates!AJ3</f>
        <v>54423</v>
      </c>
      <c r="AG4" s="94">
        <f>Dates!AK3</f>
        <v>54788</v>
      </c>
    </row>
    <row r="5" spans="2:33" ht="15" customHeight="1">
      <c r="E5" s="11"/>
      <c r="J5" s="11" t="s">
        <v>101</v>
      </c>
      <c r="K5" s="251">
        <f>Dates!O4</f>
        <v>2027</v>
      </c>
      <c r="L5" s="35">
        <f>Dates!P4</f>
        <v>2028</v>
      </c>
      <c r="M5" s="35">
        <f>Dates!Q4</f>
        <v>2029</v>
      </c>
      <c r="N5" s="35">
        <f>Dates!R4</f>
        <v>2030</v>
      </c>
      <c r="O5" s="35">
        <f>Dates!S4</f>
        <v>2031</v>
      </c>
      <c r="P5" s="35">
        <f>Dates!T4</f>
        <v>2032</v>
      </c>
      <c r="Q5" s="35">
        <f>Dates!U4</f>
        <v>2033</v>
      </c>
      <c r="R5" s="35">
        <f>Dates!V4</f>
        <v>2034</v>
      </c>
      <c r="S5" s="35">
        <f>Dates!W4</f>
        <v>2035</v>
      </c>
      <c r="T5" s="35">
        <f>Dates!X4</f>
        <v>2036</v>
      </c>
      <c r="U5" s="35">
        <f>Dates!Y4</f>
        <v>2037</v>
      </c>
      <c r="V5" s="35">
        <f>Dates!Z4</f>
        <v>2038</v>
      </c>
      <c r="W5" s="35">
        <f>Dates!AA4</f>
        <v>2039</v>
      </c>
      <c r="X5" s="35">
        <f>Dates!AB4</f>
        <v>2040</v>
      </c>
      <c r="Y5" s="35">
        <f>Dates!AC4</f>
        <v>2041</v>
      </c>
      <c r="Z5" s="35">
        <f>Dates!AD4</f>
        <v>2042</v>
      </c>
      <c r="AA5" s="35">
        <f>Dates!AE4</f>
        <v>2043</v>
      </c>
      <c r="AB5" s="35">
        <f>Dates!AF4</f>
        <v>2044</v>
      </c>
      <c r="AC5" s="35">
        <f>Dates!AG4</f>
        <v>2045</v>
      </c>
      <c r="AD5" s="35">
        <f>Dates!AH4</f>
        <v>2046</v>
      </c>
      <c r="AE5" s="35">
        <f>Dates!AI4</f>
        <v>2047</v>
      </c>
      <c r="AF5" s="35">
        <f>Dates!AJ4</f>
        <v>2048</v>
      </c>
      <c r="AG5" s="35">
        <f>Dates!AK4</f>
        <v>2049</v>
      </c>
    </row>
    <row r="6" spans="2:33" ht="15" customHeight="1">
      <c r="E6" s="11"/>
      <c r="J6" s="11" t="s">
        <v>570</v>
      </c>
      <c r="K6" s="97">
        <f>Dates!O8</f>
        <v>0</v>
      </c>
      <c r="L6" s="98">
        <f>Dates!P8</f>
        <v>1</v>
      </c>
      <c r="M6" s="98">
        <f>Dates!Q8</f>
        <v>2</v>
      </c>
      <c r="N6" s="98">
        <f>Dates!R8</f>
        <v>3</v>
      </c>
      <c r="O6" s="98">
        <f>Dates!S8</f>
        <v>4</v>
      </c>
      <c r="P6" s="98">
        <f>Dates!T8</f>
        <v>5</v>
      </c>
      <c r="Q6" s="98">
        <f>Dates!U8</f>
        <v>6</v>
      </c>
      <c r="R6" s="98">
        <f>Dates!V8</f>
        <v>7</v>
      </c>
      <c r="S6" s="98">
        <f>Dates!W8</f>
        <v>8</v>
      </c>
      <c r="T6" s="98">
        <f>Dates!X8</f>
        <v>9</v>
      </c>
      <c r="U6" s="98">
        <f>Dates!Y8</f>
        <v>10</v>
      </c>
      <c r="V6" s="98">
        <f>Dates!Z8</f>
        <v>11</v>
      </c>
      <c r="W6" s="98">
        <f>Dates!AA8</f>
        <v>12</v>
      </c>
      <c r="X6" s="98">
        <f>Dates!AB8</f>
        <v>13</v>
      </c>
      <c r="Y6" s="98">
        <f>Dates!AC8</f>
        <v>14</v>
      </c>
      <c r="Z6" s="98">
        <f>Dates!AD8</f>
        <v>15</v>
      </c>
      <c r="AA6" s="98">
        <f>Dates!AE8</f>
        <v>16</v>
      </c>
      <c r="AB6" s="98">
        <f>Dates!AF8</f>
        <v>17</v>
      </c>
      <c r="AC6" s="98">
        <f>Dates!AG8</f>
        <v>18</v>
      </c>
      <c r="AD6" s="98">
        <f>Dates!AH8</f>
        <v>19</v>
      </c>
      <c r="AE6" s="98">
        <f>Dates!AI8</f>
        <v>20</v>
      </c>
      <c r="AF6" s="98">
        <f>Dates!AJ8</f>
        <v>21</v>
      </c>
      <c r="AG6" s="98">
        <f>Dates!AK8</f>
        <v>22</v>
      </c>
    </row>
    <row r="8" spans="2:33" ht="15" customHeight="1">
      <c r="B8" s="40"/>
      <c r="C8" s="14" t="s">
        <v>571</v>
      </c>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row>
    <row r="10" spans="2:33" ht="15" customHeight="1">
      <c r="E10" s="25" t="s">
        <v>557</v>
      </c>
      <c r="K10" s="38">
        <f>Dates!O17</f>
        <v>0</v>
      </c>
      <c r="L10" s="38">
        <f>Dates!P17</f>
        <v>0</v>
      </c>
      <c r="M10" s="38">
        <f>Dates!Q17</f>
        <v>0</v>
      </c>
      <c r="N10" s="38">
        <f>Dates!R17</f>
        <v>1</v>
      </c>
      <c r="O10" s="38">
        <f>Dates!S17</f>
        <v>1</v>
      </c>
      <c r="P10" s="38">
        <f>Dates!T17</f>
        <v>1</v>
      </c>
      <c r="Q10" s="38">
        <f>Dates!U17</f>
        <v>1</v>
      </c>
      <c r="R10" s="38">
        <f>Dates!V17</f>
        <v>1</v>
      </c>
      <c r="S10" s="38">
        <f>Dates!W17</f>
        <v>1</v>
      </c>
      <c r="T10" s="38">
        <f>Dates!X17</f>
        <v>1</v>
      </c>
      <c r="U10" s="38">
        <f>Dates!Y17</f>
        <v>1</v>
      </c>
      <c r="V10" s="38">
        <f>Dates!Z17</f>
        <v>1</v>
      </c>
      <c r="W10" s="38">
        <f>Dates!AA17</f>
        <v>1</v>
      </c>
      <c r="X10" s="38">
        <f>Dates!AB17</f>
        <v>1</v>
      </c>
      <c r="Y10" s="38">
        <f>Dates!AC17</f>
        <v>1</v>
      </c>
      <c r="Z10" s="38">
        <f>Dates!AD17</f>
        <v>1</v>
      </c>
      <c r="AA10" s="38">
        <f>Dates!AE17</f>
        <v>1</v>
      </c>
      <c r="AB10" s="38">
        <f>Dates!AF17</f>
        <v>1</v>
      </c>
      <c r="AC10" s="38">
        <f>Dates!AG17</f>
        <v>1</v>
      </c>
      <c r="AD10" s="38">
        <f>Dates!AH17</f>
        <v>1</v>
      </c>
      <c r="AE10" s="38">
        <f>Dates!AI17</f>
        <v>1</v>
      </c>
      <c r="AF10" s="38">
        <f>Dates!AJ17</f>
        <v>1</v>
      </c>
      <c r="AG10" s="38">
        <f>Dates!AK17</f>
        <v>1</v>
      </c>
    </row>
    <row r="13" spans="2:33" ht="15" customHeight="1">
      <c r="E13" s="25" t="s">
        <v>738</v>
      </c>
      <c r="G13" s="33"/>
      <c r="I13" s="33">
        <f>IF(ABS(I62-(Construction!$I$58+Financing!$I$48+Financing!$I$50))&lt;2,0,1)</f>
        <v>0</v>
      </c>
    </row>
    <row r="15" spans="2:33" ht="15" customHeight="1">
      <c r="B15" s="40"/>
      <c r="C15" s="14" t="s">
        <v>739</v>
      </c>
      <c r="D15" s="40"/>
      <c r="E15" s="40"/>
      <c r="F15" s="40"/>
      <c r="G15" s="40"/>
      <c r="H15" s="101">
        <f>IF(I21+I18&gt;=-0.01,0,1)</f>
        <v>0</v>
      </c>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row>
    <row r="16" spans="2:33" ht="15" customHeight="1">
      <c r="E16" s="25" t="s">
        <v>740</v>
      </c>
      <c r="F16" s="7" t="str">
        <f>Inputs!$D$7</f>
        <v>HUF</v>
      </c>
      <c r="G16" s="272">
        <f>Construction!$G$15+Construction!$G$20</f>
        <v>252000</v>
      </c>
      <c r="H16" s="33"/>
    </row>
    <row r="17" spans="2:33" ht="15" customHeight="1">
      <c r="E17" s="25" t="s">
        <v>741</v>
      </c>
      <c r="F17" s="7" t="s">
        <v>274</v>
      </c>
      <c r="G17" s="265">
        <f>Inputs!$I$170</f>
        <v>15</v>
      </c>
    </row>
    <row r="18" spans="2:33" ht="15" customHeight="1">
      <c r="E18" s="25" t="s">
        <v>742</v>
      </c>
      <c r="F18" s="7" t="str">
        <f>Inputs!$D$7</f>
        <v>HUF</v>
      </c>
      <c r="I18" s="60">
        <f>SUM(K18:AG18)</f>
        <v>259610.4</v>
      </c>
      <c r="K18" s="36">
        <f>Construction!K70</f>
        <v>0</v>
      </c>
      <c r="L18" s="36">
        <f>Construction!L70</f>
        <v>128520</v>
      </c>
      <c r="M18" s="36">
        <f>Construction!M70</f>
        <v>131090.4</v>
      </c>
      <c r="N18" s="36">
        <f>Construction!N70</f>
        <v>0</v>
      </c>
      <c r="O18" s="36">
        <f>Construction!O70</f>
        <v>0</v>
      </c>
      <c r="P18" s="36">
        <f>Construction!P70</f>
        <v>0</v>
      </c>
      <c r="Q18" s="36">
        <f>Construction!Q70</f>
        <v>0</v>
      </c>
      <c r="R18" s="36">
        <f>Construction!R70</f>
        <v>0</v>
      </c>
      <c r="S18" s="36">
        <f>Construction!S70</f>
        <v>0</v>
      </c>
      <c r="T18" s="36">
        <f>Construction!T70</f>
        <v>0</v>
      </c>
      <c r="U18" s="36">
        <f>Construction!U70</f>
        <v>0</v>
      </c>
      <c r="V18" s="36">
        <f>Construction!V70</f>
        <v>0</v>
      </c>
      <c r="W18" s="36">
        <f>Construction!W70</f>
        <v>0</v>
      </c>
      <c r="X18" s="36">
        <f>Construction!X70</f>
        <v>0</v>
      </c>
      <c r="Y18" s="36">
        <f>Construction!Y70</f>
        <v>0</v>
      </c>
      <c r="Z18" s="36">
        <f>Construction!Z70</f>
        <v>0</v>
      </c>
      <c r="AA18" s="36">
        <f>Construction!AA70</f>
        <v>0</v>
      </c>
      <c r="AB18" s="36">
        <f>Construction!AB70</f>
        <v>0</v>
      </c>
      <c r="AC18" s="36">
        <f>Construction!AC70</f>
        <v>0</v>
      </c>
      <c r="AD18" s="36">
        <f>Construction!AD70</f>
        <v>0</v>
      </c>
      <c r="AE18" s="36">
        <f>Construction!AE70</f>
        <v>0</v>
      </c>
      <c r="AF18" s="36">
        <f>Construction!AF70</f>
        <v>0</v>
      </c>
      <c r="AG18" s="36">
        <f>Construction!AG70</f>
        <v>0</v>
      </c>
    </row>
    <row r="19" spans="2:33" ht="15" customHeight="1">
      <c r="E19" s="25" t="s">
        <v>743</v>
      </c>
      <c r="F19" s="7" t="str">
        <f>Inputs!$D$7</f>
        <v>HUF</v>
      </c>
      <c r="G19" s="272">
        <f>IFERROR($I$18/$G$17,0)</f>
        <v>17307.36</v>
      </c>
    </row>
    <row r="20" spans="2:33" ht="15" customHeight="1">
      <c r="E20" s="25" t="s">
        <v>744</v>
      </c>
      <c r="F20" s="7" t="str">
        <f>Inputs!$D$7</f>
        <v>HUF</v>
      </c>
      <c r="G20" s="273"/>
      <c r="K20" s="36">
        <f>IF(K6=0,0,G22)</f>
        <v>0</v>
      </c>
      <c r="L20" s="36">
        <f t="shared" ref="L20:AG20" si="0">IF(L6=0,0,K22)</f>
        <v>0</v>
      </c>
      <c r="M20" s="36">
        <f t="shared" si="0"/>
        <v>128520</v>
      </c>
      <c r="N20" s="36">
        <f t="shared" si="0"/>
        <v>259610.4</v>
      </c>
      <c r="O20" s="36">
        <f t="shared" si="0"/>
        <v>242303.03999999998</v>
      </c>
      <c r="P20" s="36">
        <f t="shared" si="0"/>
        <v>224995.68</v>
      </c>
      <c r="Q20" s="36">
        <f t="shared" si="0"/>
        <v>207688.32000000001</v>
      </c>
      <c r="R20" s="36">
        <f t="shared" si="0"/>
        <v>190380.96000000002</v>
      </c>
      <c r="S20" s="36">
        <f t="shared" si="0"/>
        <v>173073.60000000003</v>
      </c>
      <c r="T20" s="36">
        <f t="shared" si="0"/>
        <v>155766.24000000005</v>
      </c>
      <c r="U20" s="36">
        <f t="shared" si="0"/>
        <v>138458.88000000006</v>
      </c>
      <c r="V20" s="36">
        <f t="shared" si="0"/>
        <v>121151.52000000006</v>
      </c>
      <c r="W20" s="36">
        <f t="shared" si="0"/>
        <v>103844.16000000006</v>
      </c>
      <c r="X20" s="36">
        <f t="shared" si="0"/>
        <v>86536.800000000061</v>
      </c>
      <c r="Y20" s="36">
        <f t="shared" si="0"/>
        <v>69229.440000000061</v>
      </c>
      <c r="Z20" s="36">
        <f t="shared" si="0"/>
        <v>51922.08000000006</v>
      </c>
      <c r="AA20" s="36">
        <f t="shared" si="0"/>
        <v>34614.720000000059</v>
      </c>
      <c r="AB20" s="36">
        <f t="shared" si="0"/>
        <v>17307.360000000059</v>
      </c>
      <c r="AC20" s="36">
        <f t="shared" si="0"/>
        <v>5.8207660913467407E-11</v>
      </c>
      <c r="AD20" s="36">
        <f t="shared" si="0"/>
        <v>0</v>
      </c>
      <c r="AE20" s="36">
        <f t="shared" si="0"/>
        <v>0</v>
      </c>
      <c r="AF20" s="36">
        <f t="shared" si="0"/>
        <v>0</v>
      </c>
      <c r="AG20" s="36">
        <f t="shared" si="0"/>
        <v>0</v>
      </c>
    </row>
    <row r="21" spans="2:33" ht="15" customHeight="1">
      <c r="E21" s="25" t="s">
        <v>745</v>
      </c>
      <c r="F21" s="7" t="str">
        <f>Inputs!$D$7</f>
        <v>HUF</v>
      </c>
      <c r="I21" s="139">
        <f>SUM(K21:AG21)</f>
        <v>-259610.39999999997</v>
      </c>
      <c r="K21" s="36">
        <f t="shared" ref="K21:AG21" si="1">-MIN($G$19,K20+K18)*K10</f>
        <v>0</v>
      </c>
      <c r="L21" s="36">
        <f t="shared" si="1"/>
        <v>0</v>
      </c>
      <c r="M21" s="36">
        <f t="shared" si="1"/>
        <v>0</v>
      </c>
      <c r="N21" s="36">
        <f t="shared" si="1"/>
        <v>-17307.36</v>
      </c>
      <c r="O21" s="36">
        <f t="shared" si="1"/>
        <v>-17307.36</v>
      </c>
      <c r="P21" s="36">
        <f t="shared" si="1"/>
        <v>-17307.36</v>
      </c>
      <c r="Q21" s="36">
        <f t="shared" si="1"/>
        <v>-17307.36</v>
      </c>
      <c r="R21" s="36">
        <f t="shared" si="1"/>
        <v>-17307.36</v>
      </c>
      <c r="S21" s="36">
        <f t="shared" si="1"/>
        <v>-17307.36</v>
      </c>
      <c r="T21" s="36">
        <f t="shared" si="1"/>
        <v>-17307.36</v>
      </c>
      <c r="U21" s="36">
        <f t="shared" si="1"/>
        <v>-17307.36</v>
      </c>
      <c r="V21" s="36">
        <f t="shared" si="1"/>
        <v>-17307.36</v>
      </c>
      <c r="W21" s="36">
        <f t="shared" si="1"/>
        <v>-17307.36</v>
      </c>
      <c r="X21" s="36">
        <f t="shared" si="1"/>
        <v>-17307.36</v>
      </c>
      <c r="Y21" s="36">
        <f t="shared" si="1"/>
        <v>-17307.36</v>
      </c>
      <c r="Z21" s="36">
        <f t="shared" si="1"/>
        <v>-17307.36</v>
      </c>
      <c r="AA21" s="36">
        <f t="shared" si="1"/>
        <v>-17307.36</v>
      </c>
      <c r="AB21" s="36">
        <f t="shared" si="1"/>
        <v>-17307.36</v>
      </c>
      <c r="AC21" s="36">
        <f t="shared" si="1"/>
        <v>-5.8207660913467407E-11</v>
      </c>
      <c r="AD21" s="36">
        <f t="shared" si="1"/>
        <v>0</v>
      </c>
      <c r="AE21" s="36">
        <f t="shared" si="1"/>
        <v>0</v>
      </c>
      <c r="AF21" s="36">
        <f t="shared" si="1"/>
        <v>0</v>
      </c>
      <c r="AG21" s="36">
        <f t="shared" si="1"/>
        <v>0</v>
      </c>
    </row>
    <row r="22" spans="2:33" ht="15" customHeight="1">
      <c r="E22" s="112" t="s">
        <v>746</v>
      </c>
      <c r="F22" s="107" t="str">
        <f>Inputs!$D$7</f>
        <v>HUF</v>
      </c>
      <c r="G22" s="108"/>
      <c r="H22" s="108"/>
      <c r="I22" s="108"/>
      <c r="J22" s="108"/>
      <c r="K22" s="122">
        <f t="shared" ref="K22:AG22" si="2">K20+K18+K21</f>
        <v>0</v>
      </c>
      <c r="L22" s="122">
        <f t="shared" si="2"/>
        <v>128520</v>
      </c>
      <c r="M22" s="122">
        <f t="shared" si="2"/>
        <v>259610.4</v>
      </c>
      <c r="N22" s="122">
        <f t="shared" si="2"/>
        <v>242303.03999999998</v>
      </c>
      <c r="O22" s="122">
        <f t="shared" si="2"/>
        <v>224995.68</v>
      </c>
      <c r="P22" s="122">
        <f t="shared" si="2"/>
        <v>207688.32000000001</v>
      </c>
      <c r="Q22" s="122">
        <f t="shared" si="2"/>
        <v>190380.96000000002</v>
      </c>
      <c r="R22" s="122">
        <f t="shared" si="2"/>
        <v>173073.60000000003</v>
      </c>
      <c r="S22" s="122">
        <f t="shared" si="2"/>
        <v>155766.24000000005</v>
      </c>
      <c r="T22" s="122">
        <f t="shared" si="2"/>
        <v>138458.88000000006</v>
      </c>
      <c r="U22" s="122">
        <f t="shared" si="2"/>
        <v>121151.52000000006</v>
      </c>
      <c r="V22" s="122">
        <f t="shared" si="2"/>
        <v>103844.16000000006</v>
      </c>
      <c r="W22" s="122">
        <f t="shared" si="2"/>
        <v>86536.800000000061</v>
      </c>
      <c r="X22" s="122">
        <f t="shared" si="2"/>
        <v>69229.440000000061</v>
      </c>
      <c r="Y22" s="122">
        <f t="shared" si="2"/>
        <v>51922.08000000006</v>
      </c>
      <c r="Z22" s="122">
        <f t="shared" si="2"/>
        <v>34614.720000000059</v>
      </c>
      <c r="AA22" s="122">
        <f t="shared" si="2"/>
        <v>17307.360000000059</v>
      </c>
      <c r="AB22" s="122">
        <f t="shared" si="2"/>
        <v>5.8207660913467407E-11</v>
      </c>
      <c r="AC22" s="122">
        <f t="shared" si="2"/>
        <v>0</v>
      </c>
      <c r="AD22" s="122">
        <f t="shared" si="2"/>
        <v>0</v>
      </c>
      <c r="AE22" s="122">
        <f t="shared" si="2"/>
        <v>0</v>
      </c>
      <c r="AF22" s="122">
        <f t="shared" si="2"/>
        <v>0</v>
      </c>
      <c r="AG22" s="122">
        <f t="shared" si="2"/>
        <v>0</v>
      </c>
    </row>
    <row r="24" spans="2:33" ht="15" customHeight="1">
      <c r="B24" s="40"/>
      <c r="C24" s="14" t="s">
        <v>747</v>
      </c>
      <c r="D24" s="40"/>
      <c r="E24" s="40"/>
      <c r="F24" s="40"/>
      <c r="G24" s="40"/>
      <c r="H24" s="101">
        <f>IF(I30+I27&gt;=-0.01,0,1)</f>
        <v>0</v>
      </c>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row>
    <row r="25" spans="2:33" ht="15" customHeight="1">
      <c r="E25" s="25" t="s">
        <v>740</v>
      </c>
      <c r="F25" s="7" t="str">
        <f>Inputs!$D$7</f>
        <v>HUF</v>
      </c>
      <c r="G25" s="271">
        <f>Construction!$G$16+Construction!$G$17+Construction!$G$18+Construction!$G$29</f>
        <v>84004.32</v>
      </c>
      <c r="H25" s="33"/>
    </row>
    <row r="26" spans="2:33" ht="15" customHeight="1">
      <c r="E26" s="25" t="s">
        <v>741</v>
      </c>
      <c r="F26" s="7" t="s">
        <v>274</v>
      </c>
      <c r="G26" s="264">
        <f>Inputs!$I$171</f>
        <v>20</v>
      </c>
    </row>
    <row r="27" spans="2:33" ht="15" customHeight="1">
      <c r="E27" s="25" t="s">
        <v>742</v>
      </c>
      <c r="F27" s="7" t="str">
        <f>Inputs!$D$7</f>
        <v>HUF</v>
      </c>
      <c r="I27" s="60">
        <f>SUM(K27:AG27)</f>
        <v>86541.250464000012</v>
      </c>
      <c r="K27" s="36">
        <f>Construction!K71</f>
        <v>0</v>
      </c>
      <c r="L27" s="36">
        <f>Construction!L71</f>
        <v>42842.203200000004</v>
      </c>
      <c r="M27" s="36">
        <f>Construction!M71</f>
        <v>43699.047264000001</v>
      </c>
      <c r="N27" s="36">
        <f>Construction!N71</f>
        <v>0</v>
      </c>
      <c r="O27" s="36">
        <f>Construction!O71</f>
        <v>0</v>
      </c>
      <c r="P27" s="36">
        <f>Construction!P71</f>
        <v>0</v>
      </c>
      <c r="Q27" s="36">
        <f>Construction!Q71</f>
        <v>0</v>
      </c>
      <c r="R27" s="36">
        <f>Construction!R71</f>
        <v>0</v>
      </c>
      <c r="S27" s="36">
        <f>Construction!S71</f>
        <v>0</v>
      </c>
      <c r="T27" s="36">
        <f>Construction!T71</f>
        <v>0</v>
      </c>
      <c r="U27" s="36">
        <f>Construction!U71</f>
        <v>0</v>
      </c>
      <c r="V27" s="36">
        <f>Construction!V71</f>
        <v>0</v>
      </c>
      <c r="W27" s="36">
        <f>Construction!W71</f>
        <v>0</v>
      </c>
      <c r="X27" s="36">
        <f>Construction!X71</f>
        <v>0</v>
      </c>
      <c r="Y27" s="36">
        <f>Construction!Y71</f>
        <v>0</v>
      </c>
      <c r="Z27" s="36">
        <f>Construction!Z71</f>
        <v>0</v>
      </c>
      <c r="AA27" s="36">
        <f>Construction!AA71</f>
        <v>0</v>
      </c>
      <c r="AB27" s="36">
        <f>Construction!AB71</f>
        <v>0</v>
      </c>
      <c r="AC27" s="36">
        <f>Construction!AC71</f>
        <v>0</v>
      </c>
      <c r="AD27" s="36">
        <f>Construction!AD71</f>
        <v>0</v>
      </c>
      <c r="AE27" s="36">
        <f>Construction!AE71</f>
        <v>0</v>
      </c>
      <c r="AF27" s="36">
        <f>Construction!AF71</f>
        <v>0</v>
      </c>
      <c r="AG27" s="36">
        <f>Construction!AG71</f>
        <v>0</v>
      </c>
    </row>
    <row r="28" spans="2:33" ht="15" customHeight="1">
      <c r="E28" s="25" t="s">
        <v>743</v>
      </c>
      <c r="F28" s="7" t="str">
        <f>Inputs!$D$7</f>
        <v>HUF</v>
      </c>
      <c r="G28" s="272">
        <f>IFERROR($I$27/$G$26,0)</f>
        <v>4327.0625232000002</v>
      </c>
    </row>
    <row r="29" spans="2:33" ht="15" customHeight="1">
      <c r="E29" s="25" t="s">
        <v>744</v>
      </c>
      <c r="F29" s="7" t="str">
        <f>Inputs!$D$7</f>
        <v>HUF</v>
      </c>
      <c r="G29" s="273"/>
      <c r="K29" s="36">
        <f>IF(K6=0,0,G31)</f>
        <v>0</v>
      </c>
      <c r="L29" s="36">
        <f t="shared" ref="L29:AG29" si="3">IF(L6=0,0,K31)</f>
        <v>0</v>
      </c>
      <c r="M29" s="36">
        <f t="shared" si="3"/>
        <v>42842.203200000004</v>
      </c>
      <c r="N29" s="36">
        <f t="shared" si="3"/>
        <v>86541.250464000012</v>
      </c>
      <c r="O29" s="36">
        <f t="shared" si="3"/>
        <v>82214.18794080001</v>
      </c>
      <c r="P29" s="36">
        <f t="shared" si="3"/>
        <v>77887.125417600007</v>
      </c>
      <c r="Q29" s="36">
        <f t="shared" si="3"/>
        <v>73560.062894400005</v>
      </c>
      <c r="R29" s="36">
        <f t="shared" si="3"/>
        <v>69233.000371200003</v>
      </c>
      <c r="S29" s="36">
        <f t="shared" si="3"/>
        <v>64905.937848000001</v>
      </c>
      <c r="T29" s="36">
        <f t="shared" si="3"/>
        <v>60578.875324799999</v>
      </c>
      <c r="U29" s="36">
        <f t="shared" si="3"/>
        <v>56251.812801599997</v>
      </c>
      <c r="V29" s="36">
        <f t="shared" si="3"/>
        <v>51924.750278399995</v>
      </c>
      <c r="W29" s="36">
        <f t="shared" si="3"/>
        <v>47597.687755199993</v>
      </c>
      <c r="X29" s="36">
        <f t="shared" si="3"/>
        <v>43270.625231999991</v>
      </c>
      <c r="Y29" s="36">
        <f t="shared" si="3"/>
        <v>38943.562708799989</v>
      </c>
      <c r="Z29" s="36">
        <f t="shared" si="3"/>
        <v>34616.500185599987</v>
      </c>
      <c r="AA29" s="36">
        <f t="shared" si="3"/>
        <v>30289.437662399985</v>
      </c>
      <c r="AB29" s="36">
        <f t="shared" si="3"/>
        <v>25962.375139199983</v>
      </c>
      <c r="AC29" s="36">
        <f t="shared" si="3"/>
        <v>21635.312615999981</v>
      </c>
      <c r="AD29" s="36">
        <f t="shared" si="3"/>
        <v>17308.250092799979</v>
      </c>
      <c r="AE29" s="36">
        <f t="shared" si="3"/>
        <v>12981.187569599979</v>
      </c>
      <c r="AF29" s="36">
        <f t="shared" si="3"/>
        <v>8654.1250463999786</v>
      </c>
      <c r="AG29" s="36">
        <f t="shared" si="3"/>
        <v>4327.0625231999784</v>
      </c>
    </row>
    <row r="30" spans="2:33" ht="15" customHeight="1">
      <c r="E30" s="25" t="s">
        <v>745</v>
      </c>
      <c r="F30" s="7" t="str">
        <f>Inputs!$D$7</f>
        <v>HUF</v>
      </c>
      <c r="I30" s="139">
        <f>SUM(K30:AG30)</f>
        <v>-86541.250463999997</v>
      </c>
      <c r="K30" s="36">
        <f t="shared" ref="K30:AG30" si="4">-MIN($G$28,K29+K27)*K10</f>
        <v>0</v>
      </c>
      <c r="L30" s="36">
        <f t="shared" si="4"/>
        <v>0</v>
      </c>
      <c r="M30" s="36">
        <f t="shared" si="4"/>
        <v>0</v>
      </c>
      <c r="N30" s="36">
        <f t="shared" si="4"/>
        <v>-4327.0625232000002</v>
      </c>
      <c r="O30" s="36">
        <f t="shared" si="4"/>
        <v>-4327.0625232000002</v>
      </c>
      <c r="P30" s="36">
        <f t="shared" si="4"/>
        <v>-4327.0625232000002</v>
      </c>
      <c r="Q30" s="36">
        <f t="shared" si="4"/>
        <v>-4327.0625232000002</v>
      </c>
      <c r="R30" s="36">
        <f t="shared" si="4"/>
        <v>-4327.0625232000002</v>
      </c>
      <c r="S30" s="36">
        <f t="shared" si="4"/>
        <v>-4327.0625232000002</v>
      </c>
      <c r="T30" s="36">
        <f t="shared" si="4"/>
        <v>-4327.0625232000002</v>
      </c>
      <c r="U30" s="36">
        <f t="shared" si="4"/>
        <v>-4327.0625232000002</v>
      </c>
      <c r="V30" s="36">
        <f t="shared" si="4"/>
        <v>-4327.0625232000002</v>
      </c>
      <c r="W30" s="36">
        <f t="shared" si="4"/>
        <v>-4327.0625232000002</v>
      </c>
      <c r="X30" s="36">
        <f t="shared" si="4"/>
        <v>-4327.0625232000002</v>
      </c>
      <c r="Y30" s="36">
        <f t="shared" si="4"/>
        <v>-4327.0625232000002</v>
      </c>
      <c r="Z30" s="36">
        <f t="shared" si="4"/>
        <v>-4327.0625232000002</v>
      </c>
      <c r="AA30" s="36">
        <f t="shared" si="4"/>
        <v>-4327.0625232000002</v>
      </c>
      <c r="AB30" s="36">
        <f t="shared" si="4"/>
        <v>-4327.0625232000002</v>
      </c>
      <c r="AC30" s="36">
        <f t="shared" si="4"/>
        <v>-4327.0625232000002</v>
      </c>
      <c r="AD30" s="36">
        <f t="shared" si="4"/>
        <v>-4327.0625232000002</v>
      </c>
      <c r="AE30" s="36">
        <f t="shared" si="4"/>
        <v>-4327.0625232000002</v>
      </c>
      <c r="AF30" s="36">
        <f t="shared" si="4"/>
        <v>-4327.0625232000002</v>
      </c>
      <c r="AG30" s="36">
        <f t="shared" si="4"/>
        <v>-4327.0625231999784</v>
      </c>
    </row>
    <row r="31" spans="2:33" ht="15" customHeight="1">
      <c r="E31" s="112" t="s">
        <v>746</v>
      </c>
      <c r="F31" s="107" t="str">
        <f>Inputs!$D$7</f>
        <v>HUF</v>
      </c>
      <c r="G31" s="108"/>
      <c r="H31" s="108"/>
      <c r="I31" s="108"/>
      <c r="J31" s="108"/>
      <c r="K31" s="122">
        <f t="shared" ref="K31:AG31" si="5">K29+K27+K30</f>
        <v>0</v>
      </c>
      <c r="L31" s="122">
        <f t="shared" si="5"/>
        <v>42842.203200000004</v>
      </c>
      <c r="M31" s="122">
        <f t="shared" si="5"/>
        <v>86541.250464000012</v>
      </c>
      <c r="N31" s="122">
        <f t="shared" si="5"/>
        <v>82214.18794080001</v>
      </c>
      <c r="O31" s="122">
        <f t="shared" si="5"/>
        <v>77887.125417600007</v>
      </c>
      <c r="P31" s="122">
        <f t="shared" si="5"/>
        <v>73560.062894400005</v>
      </c>
      <c r="Q31" s="122">
        <f t="shared" si="5"/>
        <v>69233.000371200003</v>
      </c>
      <c r="R31" s="122">
        <f t="shared" si="5"/>
        <v>64905.937848000001</v>
      </c>
      <c r="S31" s="122">
        <f t="shared" si="5"/>
        <v>60578.875324799999</v>
      </c>
      <c r="T31" s="122">
        <f t="shared" si="5"/>
        <v>56251.812801599997</v>
      </c>
      <c r="U31" s="122">
        <f t="shared" si="5"/>
        <v>51924.750278399995</v>
      </c>
      <c r="V31" s="122">
        <f t="shared" si="5"/>
        <v>47597.687755199993</v>
      </c>
      <c r="W31" s="122">
        <f t="shared" si="5"/>
        <v>43270.625231999991</v>
      </c>
      <c r="X31" s="122">
        <f t="shared" si="5"/>
        <v>38943.562708799989</v>
      </c>
      <c r="Y31" s="122">
        <f t="shared" si="5"/>
        <v>34616.500185599987</v>
      </c>
      <c r="Z31" s="122">
        <f t="shared" si="5"/>
        <v>30289.437662399985</v>
      </c>
      <c r="AA31" s="122">
        <f t="shared" si="5"/>
        <v>25962.375139199983</v>
      </c>
      <c r="AB31" s="122">
        <f t="shared" si="5"/>
        <v>21635.312615999981</v>
      </c>
      <c r="AC31" s="122">
        <f t="shared" si="5"/>
        <v>17308.250092799979</v>
      </c>
      <c r="AD31" s="122">
        <f t="shared" si="5"/>
        <v>12981.187569599979</v>
      </c>
      <c r="AE31" s="122">
        <f t="shared" si="5"/>
        <v>8654.1250463999786</v>
      </c>
      <c r="AF31" s="122">
        <f t="shared" si="5"/>
        <v>4327.0625231999784</v>
      </c>
      <c r="AG31" s="122">
        <f t="shared" si="5"/>
        <v>0</v>
      </c>
    </row>
    <row r="33" spans="2:33" ht="15" customHeight="1">
      <c r="B33" s="40"/>
      <c r="C33" s="14" t="s">
        <v>579</v>
      </c>
      <c r="D33" s="40"/>
      <c r="E33" s="40"/>
      <c r="F33" s="40"/>
      <c r="G33" s="40"/>
      <c r="H33" s="101">
        <f>IF(I39+I36&gt;=-0.01,0,1)</f>
        <v>0</v>
      </c>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row>
    <row r="34" spans="2:33" ht="15" customHeight="1">
      <c r="E34" s="25" t="s">
        <v>740</v>
      </c>
      <c r="F34" s="7" t="str">
        <f>Inputs!$D$7</f>
        <v>HUF</v>
      </c>
      <c r="G34" s="274">
        <f>Construction!$G$19</f>
        <v>80000</v>
      </c>
      <c r="H34" s="33"/>
    </row>
    <row r="35" spans="2:33" ht="15" customHeight="1">
      <c r="E35" s="25" t="s">
        <v>741</v>
      </c>
      <c r="F35" s="7" t="s">
        <v>274</v>
      </c>
      <c r="G35" s="265">
        <f>Inputs!$I$174</f>
        <v>25</v>
      </c>
    </row>
    <row r="36" spans="2:33" ht="15" customHeight="1">
      <c r="E36" s="25" t="s">
        <v>742</v>
      </c>
      <c r="F36" s="7" t="str">
        <f>Inputs!$D$7</f>
        <v>HUF</v>
      </c>
      <c r="I36" s="46">
        <f>SUM(K36:AG36)</f>
        <v>82416</v>
      </c>
      <c r="K36" s="36">
        <f>Construction!K72</f>
        <v>0</v>
      </c>
      <c r="L36" s="36">
        <f>Construction!L72</f>
        <v>40800</v>
      </c>
      <c r="M36" s="36">
        <f>Construction!M72</f>
        <v>41616</v>
      </c>
      <c r="N36" s="36">
        <f>Construction!N72</f>
        <v>0</v>
      </c>
      <c r="O36" s="36">
        <f>Construction!O72</f>
        <v>0</v>
      </c>
      <c r="P36" s="36">
        <f>Construction!P72</f>
        <v>0</v>
      </c>
      <c r="Q36" s="36">
        <f>Construction!Q72</f>
        <v>0</v>
      </c>
      <c r="R36" s="36">
        <f>Construction!R72</f>
        <v>0</v>
      </c>
      <c r="S36" s="36">
        <f>Construction!S72</f>
        <v>0</v>
      </c>
      <c r="T36" s="36">
        <f>Construction!T72</f>
        <v>0</v>
      </c>
      <c r="U36" s="36">
        <f>Construction!U72</f>
        <v>0</v>
      </c>
      <c r="V36" s="36">
        <f>Construction!V72</f>
        <v>0</v>
      </c>
      <c r="W36" s="36">
        <f>Construction!W72</f>
        <v>0</v>
      </c>
      <c r="X36" s="36">
        <f>Construction!X72</f>
        <v>0</v>
      </c>
      <c r="Y36" s="36">
        <f>Construction!Y72</f>
        <v>0</v>
      </c>
      <c r="Z36" s="36">
        <f>Construction!Z72</f>
        <v>0</v>
      </c>
      <c r="AA36" s="36">
        <f>Construction!AA72</f>
        <v>0</v>
      </c>
      <c r="AB36" s="36">
        <f>Construction!AB72</f>
        <v>0</v>
      </c>
      <c r="AC36" s="36">
        <f>Construction!AC72</f>
        <v>0</v>
      </c>
      <c r="AD36" s="36">
        <f>Construction!AD72</f>
        <v>0</v>
      </c>
      <c r="AE36" s="36">
        <f>Construction!AE72</f>
        <v>0</v>
      </c>
      <c r="AF36" s="36">
        <f>Construction!AF72</f>
        <v>0</v>
      </c>
      <c r="AG36" s="36">
        <f>Construction!AG72</f>
        <v>0</v>
      </c>
    </row>
    <row r="37" spans="2:33" ht="15" customHeight="1">
      <c r="E37" s="25" t="s">
        <v>743</v>
      </c>
      <c r="F37" s="7" t="str">
        <f>Inputs!$D$7</f>
        <v>HUF</v>
      </c>
      <c r="G37" s="274">
        <f>IFERROR($I$36/$G$35,0)</f>
        <v>3296.64</v>
      </c>
    </row>
    <row r="38" spans="2:33" ht="15" customHeight="1">
      <c r="E38" s="25" t="s">
        <v>744</v>
      </c>
      <c r="F38" s="7" t="str">
        <f>Inputs!$D$7</f>
        <v>HUF</v>
      </c>
      <c r="G38" s="273"/>
      <c r="K38" s="36">
        <f>IF(K6=0,0,G40)</f>
        <v>0</v>
      </c>
      <c r="L38" s="36">
        <f t="shared" ref="L38:AG38" si="6">IF(L6=0,0,K40)</f>
        <v>0</v>
      </c>
      <c r="M38" s="36">
        <f t="shared" si="6"/>
        <v>40800</v>
      </c>
      <c r="N38" s="36">
        <f t="shared" si="6"/>
        <v>82416</v>
      </c>
      <c r="O38" s="36">
        <f t="shared" si="6"/>
        <v>79119.360000000001</v>
      </c>
      <c r="P38" s="36">
        <f t="shared" si="6"/>
        <v>75822.720000000001</v>
      </c>
      <c r="Q38" s="36">
        <f t="shared" si="6"/>
        <v>72526.080000000002</v>
      </c>
      <c r="R38" s="36">
        <f t="shared" si="6"/>
        <v>69229.440000000002</v>
      </c>
      <c r="S38" s="36">
        <f t="shared" si="6"/>
        <v>65932.800000000003</v>
      </c>
      <c r="T38" s="36">
        <f t="shared" si="6"/>
        <v>62636.160000000003</v>
      </c>
      <c r="U38" s="36">
        <f t="shared" si="6"/>
        <v>59339.520000000004</v>
      </c>
      <c r="V38" s="36">
        <f t="shared" si="6"/>
        <v>56042.880000000005</v>
      </c>
      <c r="W38" s="36">
        <f t="shared" si="6"/>
        <v>52746.240000000005</v>
      </c>
      <c r="X38" s="36">
        <f t="shared" si="6"/>
        <v>49449.600000000006</v>
      </c>
      <c r="Y38" s="36">
        <f t="shared" si="6"/>
        <v>46152.960000000006</v>
      </c>
      <c r="Z38" s="36">
        <f t="shared" si="6"/>
        <v>42856.320000000007</v>
      </c>
      <c r="AA38" s="36">
        <f t="shared" si="6"/>
        <v>39559.680000000008</v>
      </c>
      <c r="AB38" s="36">
        <f t="shared" si="6"/>
        <v>36263.040000000008</v>
      </c>
      <c r="AC38" s="36">
        <f t="shared" si="6"/>
        <v>32966.400000000009</v>
      </c>
      <c r="AD38" s="36">
        <f t="shared" si="6"/>
        <v>29669.760000000009</v>
      </c>
      <c r="AE38" s="36">
        <f t="shared" si="6"/>
        <v>26373.12000000001</v>
      </c>
      <c r="AF38" s="36">
        <f t="shared" si="6"/>
        <v>23076.48000000001</v>
      </c>
      <c r="AG38" s="36">
        <f t="shared" si="6"/>
        <v>19779.840000000011</v>
      </c>
    </row>
    <row r="39" spans="2:33" ht="15" customHeight="1">
      <c r="E39" s="25" t="s">
        <v>745</v>
      </c>
      <c r="F39" s="7" t="str">
        <f>Inputs!$D$7</f>
        <v>HUF</v>
      </c>
      <c r="I39" s="275">
        <f>SUM(K39:AG39)</f>
        <v>-65932.800000000003</v>
      </c>
      <c r="K39" s="36">
        <f t="shared" ref="K39:AG39" si="7">-MIN($G$37,K38+K36)*K10</f>
        <v>0</v>
      </c>
      <c r="L39" s="36">
        <f t="shared" si="7"/>
        <v>0</v>
      </c>
      <c r="M39" s="36">
        <f t="shared" si="7"/>
        <v>0</v>
      </c>
      <c r="N39" s="36">
        <f t="shared" si="7"/>
        <v>-3296.64</v>
      </c>
      <c r="O39" s="36">
        <f t="shared" si="7"/>
        <v>-3296.64</v>
      </c>
      <c r="P39" s="36">
        <f t="shared" si="7"/>
        <v>-3296.64</v>
      </c>
      <c r="Q39" s="36">
        <f t="shared" si="7"/>
        <v>-3296.64</v>
      </c>
      <c r="R39" s="36">
        <f t="shared" si="7"/>
        <v>-3296.64</v>
      </c>
      <c r="S39" s="36">
        <f t="shared" si="7"/>
        <v>-3296.64</v>
      </c>
      <c r="T39" s="36">
        <f t="shared" si="7"/>
        <v>-3296.64</v>
      </c>
      <c r="U39" s="36">
        <f t="shared" si="7"/>
        <v>-3296.64</v>
      </c>
      <c r="V39" s="36">
        <f t="shared" si="7"/>
        <v>-3296.64</v>
      </c>
      <c r="W39" s="36">
        <f t="shared" si="7"/>
        <v>-3296.64</v>
      </c>
      <c r="X39" s="36">
        <f t="shared" si="7"/>
        <v>-3296.64</v>
      </c>
      <c r="Y39" s="36">
        <f t="shared" si="7"/>
        <v>-3296.64</v>
      </c>
      <c r="Z39" s="36">
        <f t="shared" si="7"/>
        <v>-3296.64</v>
      </c>
      <c r="AA39" s="36">
        <f t="shared" si="7"/>
        <v>-3296.64</v>
      </c>
      <c r="AB39" s="36">
        <f t="shared" si="7"/>
        <v>-3296.64</v>
      </c>
      <c r="AC39" s="36">
        <f t="shared" si="7"/>
        <v>-3296.64</v>
      </c>
      <c r="AD39" s="36">
        <f t="shared" si="7"/>
        <v>-3296.64</v>
      </c>
      <c r="AE39" s="36">
        <f t="shared" si="7"/>
        <v>-3296.64</v>
      </c>
      <c r="AF39" s="36">
        <f t="shared" si="7"/>
        <v>-3296.64</v>
      </c>
      <c r="AG39" s="36">
        <f t="shared" si="7"/>
        <v>-3296.64</v>
      </c>
    </row>
    <row r="40" spans="2:33" ht="15" customHeight="1">
      <c r="E40" s="112" t="s">
        <v>746</v>
      </c>
      <c r="F40" s="107" t="str">
        <f>Inputs!$D$7</f>
        <v>HUF</v>
      </c>
      <c r="G40" s="108"/>
      <c r="H40" s="108"/>
      <c r="I40" s="108"/>
      <c r="J40" s="108"/>
      <c r="K40" s="122">
        <f t="shared" ref="K40:AG40" si="8">K38+K36+K39</f>
        <v>0</v>
      </c>
      <c r="L40" s="122">
        <f t="shared" si="8"/>
        <v>40800</v>
      </c>
      <c r="M40" s="122">
        <f t="shared" si="8"/>
        <v>82416</v>
      </c>
      <c r="N40" s="122">
        <f t="shared" si="8"/>
        <v>79119.360000000001</v>
      </c>
      <c r="O40" s="122">
        <f t="shared" si="8"/>
        <v>75822.720000000001</v>
      </c>
      <c r="P40" s="122">
        <f t="shared" si="8"/>
        <v>72526.080000000002</v>
      </c>
      <c r="Q40" s="122">
        <f t="shared" si="8"/>
        <v>69229.440000000002</v>
      </c>
      <c r="R40" s="122">
        <f t="shared" si="8"/>
        <v>65932.800000000003</v>
      </c>
      <c r="S40" s="122">
        <f t="shared" si="8"/>
        <v>62636.160000000003</v>
      </c>
      <c r="T40" s="122">
        <f t="shared" si="8"/>
        <v>59339.520000000004</v>
      </c>
      <c r="U40" s="122">
        <f t="shared" si="8"/>
        <v>56042.880000000005</v>
      </c>
      <c r="V40" s="122">
        <f t="shared" si="8"/>
        <v>52746.240000000005</v>
      </c>
      <c r="W40" s="122">
        <f t="shared" si="8"/>
        <v>49449.600000000006</v>
      </c>
      <c r="X40" s="122">
        <f t="shared" si="8"/>
        <v>46152.960000000006</v>
      </c>
      <c r="Y40" s="122">
        <f t="shared" si="8"/>
        <v>42856.320000000007</v>
      </c>
      <c r="Z40" s="122">
        <f t="shared" si="8"/>
        <v>39559.680000000008</v>
      </c>
      <c r="AA40" s="122">
        <f t="shared" si="8"/>
        <v>36263.040000000008</v>
      </c>
      <c r="AB40" s="122">
        <f t="shared" si="8"/>
        <v>32966.400000000009</v>
      </c>
      <c r="AC40" s="122">
        <f t="shared" si="8"/>
        <v>29669.760000000009</v>
      </c>
      <c r="AD40" s="122">
        <f t="shared" si="8"/>
        <v>26373.12000000001</v>
      </c>
      <c r="AE40" s="122">
        <f t="shared" si="8"/>
        <v>23076.48000000001</v>
      </c>
      <c r="AF40" s="122">
        <f t="shared" si="8"/>
        <v>19779.840000000011</v>
      </c>
      <c r="AG40" s="122">
        <f t="shared" si="8"/>
        <v>16483.200000000012</v>
      </c>
    </row>
    <row r="42" spans="2:33" ht="15" customHeight="1">
      <c r="B42" s="40"/>
      <c r="C42" s="14" t="s">
        <v>610</v>
      </c>
      <c r="D42" s="40"/>
      <c r="E42" s="40"/>
      <c r="F42" s="40"/>
      <c r="G42" s="40"/>
      <c r="H42" s="101">
        <f>IF(I48+I45&gt;=-0.01,0,1)</f>
        <v>0</v>
      </c>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row>
    <row r="43" spans="2:33" ht="15" customHeight="1">
      <c r="E43" s="25" t="s">
        <v>740</v>
      </c>
      <c r="F43" s="7" t="str">
        <f>Inputs!$D$7</f>
        <v>HUF</v>
      </c>
      <c r="G43" s="272">
        <f>Construction!$G$27+Construction!$G$28+Construction!$G$30+Construction!$G$31</f>
        <v>172500</v>
      </c>
      <c r="H43" s="33"/>
    </row>
    <row r="44" spans="2:33" ht="15" customHeight="1">
      <c r="E44" s="25" t="s">
        <v>741</v>
      </c>
      <c r="F44" s="7" t="s">
        <v>274</v>
      </c>
      <c r="G44" s="265">
        <f>Inputs!$I$176</f>
        <v>40</v>
      </c>
    </row>
    <row r="45" spans="2:33" ht="15" customHeight="1">
      <c r="E45" s="25" t="s">
        <v>742</v>
      </c>
      <c r="F45" s="7" t="str">
        <f>Inputs!$D$7</f>
        <v>HUF</v>
      </c>
      <c r="I45" s="60">
        <f>SUM(K45:AG45)</f>
        <v>177709.5</v>
      </c>
      <c r="K45" s="36">
        <f>Construction!K73</f>
        <v>0</v>
      </c>
      <c r="L45" s="36">
        <f>Construction!L73</f>
        <v>87975</v>
      </c>
      <c r="M45" s="36">
        <f>Construction!M73</f>
        <v>89734.5</v>
      </c>
      <c r="N45" s="36">
        <f>Construction!N73</f>
        <v>0</v>
      </c>
      <c r="O45" s="36">
        <f>Construction!O73</f>
        <v>0</v>
      </c>
      <c r="P45" s="36">
        <f>Construction!P73</f>
        <v>0</v>
      </c>
      <c r="Q45" s="36">
        <f>Construction!Q73</f>
        <v>0</v>
      </c>
      <c r="R45" s="36">
        <f>Construction!R73</f>
        <v>0</v>
      </c>
      <c r="S45" s="36">
        <f>Construction!S73</f>
        <v>0</v>
      </c>
      <c r="T45" s="36">
        <f>Construction!T73</f>
        <v>0</v>
      </c>
      <c r="U45" s="36">
        <f>Construction!U73</f>
        <v>0</v>
      </c>
      <c r="V45" s="36">
        <f>Construction!V73</f>
        <v>0</v>
      </c>
      <c r="W45" s="36">
        <f>Construction!W73</f>
        <v>0</v>
      </c>
      <c r="X45" s="36">
        <f>Construction!X73</f>
        <v>0</v>
      </c>
      <c r="Y45" s="36">
        <f>Construction!Y73</f>
        <v>0</v>
      </c>
      <c r="Z45" s="36">
        <f>Construction!Z73</f>
        <v>0</v>
      </c>
      <c r="AA45" s="36">
        <f>Construction!AA73</f>
        <v>0</v>
      </c>
      <c r="AB45" s="36">
        <f>Construction!AB73</f>
        <v>0</v>
      </c>
      <c r="AC45" s="36">
        <f>Construction!AC73</f>
        <v>0</v>
      </c>
      <c r="AD45" s="36">
        <f>Construction!AD73</f>
        <v>0</v>
      </c>
      <c r="AE45" s="36">
        <f>Construction!AE73</f>
        <v>0</v>
      </c>
      <c r="AF45" s="36">
        <f>Construction!AF73</f>
        <v>0</v>
      </c>
      <c r="AG45" s="36">
        <f>Construction!AG73</f>
        <v>0</v>
      </c>
    </row>
    <row r="46" spans="2:33" ht="15" customHeight="1">
      <c r="E46" s="25" t="s">
        <v>743</v>
      </c>
      <c r="F46" s="7" t="str">
        <f>Inputs!$D$7</f>
        <v>HUF</v>
      </c>
      <c r="G46" s="272">
        <f>IFERROR($I$45/$G$44,0)</f>
        <v>4442.7375000000002</v>
      </c>
    </row>
    <row r="47" spans="2:33" ht="15" customHeight="1">
      <c r="E47" s="25" t="s">
        <v>744</v>
      </c>
      <c r="F47" s="7" t="str">
        <f>Inputs!$D$7</f>
        <v>HUF</v>
      </c>
      <c r="G47" s="273"/>
      <c r="K47" s="36">
        <f>IF(K6=0,0,G49)</f>
        <v>0</v>
      </c>
      <c r="L47" s="36">
        <f t="shared" ref="L47:AG47" si="9">IF(L6=0,0,K49)</f>
        <v>0</v>
      </c>
      <c r="M47" s="36">
        <f t="shared" si="9"/>
        <v>87975</v>
      </c>
      <c r="N47" s="36">
        <f t="shared" si="9"/>
        <v>177709.5</v>
      </c>
      <c r="O47" s="36">
        <f t="shared" si="9"/>
        <v>173266.76250000001</v>
      </c>
      <c r="P47" s="36">
        <f t="shared" si="9"/>
        <v>168824.02500000002</v>
      </c>
      <c r="Q47" s="36">
        <f t="shared" si="9"/>
        <v>164381.28750000003</v>
      </c>
      <c r="R47" s="36">
        <f t="shared" si="9"/>
        <v>159938.55000000005</v>
      </c>
      <c r="S47" s="36">
        <f t="shared" si="9"/>
        <v>155495.81250000006</v>
      </c>
      <c r="T47" s="36">
        <f t="shared" si="9"/>
        <v>151053.07500000007</v>
      </c>
      <c r="U47" s="36">
        <f t="shared" si="9"/>
        <v>146610.33750000008</v>
      </c>
      <c r="V47" s="36">
        <f t="shared" si="9"/>
        <v>142167.60000000009</v>
      </c>
      <c r="W47" s="36">
        <f t="shared" si="9"/>
        <v>137724.8625000001</v>
      </c>
      <c r="X47" s="36">
        <f t="shared" si="9"/>
        <v>133282.12500000012</v>
      </c>
      <c r="Y47" s="36">
        <f t="shared" si="9"/>
        <v>128839.38750000011</v>
      </c>
      <c r="Z47" s="36">
        <f t="shared" si="9"/>
        <v>124396.65000000011</v>
      </c>
      <c r="AA47" s="36">
        <f t="shared" si="9"/>
        <v>119953.91250000011</v>
      </c>
      <c r="AB47" s="36">
        <f t="shared" si="9"/>
        <v>115511.1750000001</v>
      </c>
      <c r="AC47" s="36">
        <f t="shared" si="9"/>
        <v>111068.4375000001</v>
      </c>
      <c r="AD47" s="36">
        <f t="shared" si="9"/>
        <v>106625.7000000001</v>
      </c>
      <c r="AE47" s="36">
        <f t="shared" si="9"/>
        <v>102182.9625000001</v>
      </c>
      <c r="AF47" s="36">
        <f t="shared" si="9"/>
        <v>97740.225000000093</v>
      </c>
      <c r="AG47" s="36">
        <f t="shared" si="9"/>
        <v>93297.48750000009</v>
      </c>
    </row>
    <row r="48" spans="2:33" ht="15" customHeight="1">
      <c r="E48" s="25" t="s">
        <v>745</v>
      </c>
      <c r="F48" s="7" t="str">
        <f>Inputs!$D$7</f>
        <v>HUF</v>
      </c>
      <c r="I48" s="139">
        <f>SUM(K48:AG48)</f>
        <v>-88854.750000000029</v>
      </c>
      <c r="K48" s="36">
        <f t="shared" ref="K48:AG48" si="10">-MIN($G$46,K47+K45)*K10</f>
        <v>0</v>
      </c>
      <c r="L48" s="36">
        <f t="shared" si="10"/>
        <v>0</v>
      </c>
      <c r="M48" s="36">
        <f t="shared" si="10"/>
        <v>0</v>
      </c>
      <c r="N48" s="36">
        <f t="shared" si="10"/>
        <v>-4442.7375000000002</v>
      </c>
      <c r="O48" s="36">
        <f t="shared" si="10"/>
        <v>-4442.7375000000002</v>
      </c>
      <c r="P48" s="36">
        <f t="shared" si="10"/>
        <v>-4442.7375000000002</v>
      </c>
      <c r="Q48" s="36">
        <f t="shared" si="10"/>
        <v>-4442.7375000000002</v>
      </c>
      <c r="R48" s="36">
        <f t="shared" si="10"/>
        <v>-4442.7375000000002</v>
      </c>
      <c r="S48" s="36">
        <f t="shared" si="10"/>
        <v>-4442.7375000000002</v>
      </c>
      <c r="T48" s="36">
        <f t="shared" si="10"/>
        <v>-4442.7375000000002</v>
      </c>
      <c r="U48" s="36">
        <f t="shared" si="10"/>
        <v>-4442.7375000000002</v>
      </c>
      <c r="V48" s="36">
        <f t="shared" si="10"/>
        <v>-4442.7375000000002</v>
      </c>
      <c r="W48" s="36">
        <f t="shared" si="10"/>
        <v>-4442.7375000000002</v>
      </c>
      <c r="X48" s="36">
        <f t="shared" si="10"/>
        <v>-4442.7375000000002</v>
      </c>
      <c r="Y48" s="36">
        <f t="shared" si="10"/>
        <v>-4442.7375000000002</v>
      </c>
      <c r="Z48" s="36">
        <f t="shared" si="10"/>
        <v>-4442.7375000000002</v>
      </c>
      <c r="AA48" s="36">
        <f t="shared" si="10"/>
        <v>-4442.7375000000002</v>
      </c>
      <c r="AB48" s="36">
        <f t="shared" si="10"/>
        <v>-4442.7375000000002</v>
      </c>
      <c r="AC48" s="36">
        <f t="shared" si="10"/>
        <v>-4442.7375000000002</v>
      </c>
      <c r="AD48" s="36">
        <f t="shared" si="10"/>
        <v>-4442.7375000000002</v>
      </c>
      <c r="AE48" s="36">
        <f t="shared" si="10"/>
        <v>-4442.7375000000002</v>
      </c>
      <c r="AF48" s="36">
        <f t="shared" si="10"/>
        <v>-4442.7375000000002</v>
      </c>
      <c r="AG48" s="36">
        <f t="shared" si="10"/>
        <v>-4442.7375000000002</v>
      </c>
    </row>
    <row r="49" spans="2:33" ht="15" customHeight="1">
      <c r="E49" s="112" t="s">
        <v>746</v>
      </c>
      <c r="F49" s="107" t="str">
        <f>Inputs!$D$7</f>
        <v>HUF</v>
      </c>
      <c r="G49" s="276"/>
      <c r="H49" s="108"/>
      <c r="I49" s="108"/>
      <c r="J49" s="108"/>
      <c r="K49" s="122">
        <f t="shared" ref="K49:AG49" si="11">K47+K45+K48</f>
        <v>0</v>
      </c>
      <c r="L49" s="122">
        <f t="shared" si="11"/>
        <v>87975</v>
      </c>
      <c r="M49" s="122">
        <f t="shared" si="11"/>
        <v>177709.5</v>
      </c>
      <c r="N49" s="122">
        <f t="shared" si="11"/>
        <v>173266.76250000001</v>
      </c>
      <c r="O49" s="122">
        <f t="shared" si="11"/>
        <v>168824.02500000002</v>
      </c>
      <c r="P49" s="122">
        <f t="shared" si="11"/>
        <v>164381.28750000003</v>
      </c>
      <c r="Q49" s="122">
        <f t="shared" si="11"/>
        <v>159938.55000000005</v>
      </c>
      <c r="R49" s="122">
        <f t="shared" si="11"/>
        <v>155495.81250000006</v>
      </c>
      <c r="S49" s="122">
        <f t="shared" si="11"/>
        <v>151053.07500000007</v>
      </c>
      <c r="T49" s="122">
        <f t="shared" si="11"/>
        <v>146610.33750000008</v>
      </c>
      <c r="U49" s="122">
        <f t="shared" si="11"/>
        <v>142167.60000000009</v>
      </c>
      <c r="V49" s="122">
        <f t="shared" si="11"/>
        <v>137724.8625000001</v>
      </c>
      <c r="W49" s="122">
        <f t="shared" si="11"/>
        <v>133282.12500000012</v>
      </c>
      <c r="X49" s="122">
        <f t="shared" si="11"/>
        <v>128839.38750000011</v>
      </c>
      <c r="Y49" s="122">
        <f t="shared" si="11"/>
        <v>124396.65000000011</v>
      </c>
      <c r="Z49" s="122">
        <f t="shared" si="11"/>
        <v>119953.91250000011</v>
      </c>
      <c r="AA49" s="122">
        <f t="shared" si="11"/>
        <v>115511.1750000001</v>
      </c>
      <c r="AB49" s="122">
        <f t="shared" si="11"/>
        <v>111068.4375000001</v>
      </c>
      <c r="AC49" s="122">
        <f t="shared" si="11"/>
        <v>106625.7000000001</v>
      </c>
      <c r="AD49" s="122">
        <f t="shared" si="11"/>
        <v>102182.9625000001</v>
      </c>
      <c r="AE49" s="122">
        <f t="shared" si="11"/>
        <v>97740.225000000093</v>
      </c>
      <c r="AF49" s="122">
        <f t="shared" si="11"/>
        <v>93297.48750000009</v>
      </c>
      <c r="AG49" s="122">
        <f t="shared" si="11"/>
        <v>88854.750000000087</v>
      </c>
    </row>
    <row r="51" spans="2:33" ht="15" customHeight="1">
      <c r="B51" s="40"/>
      <c r="C51" s="14" t="s">
        <v>748</v>
      </c>
      <c r="D51" s="40"/>
      <c r="E51" s="40"/>
      <c r="F51" s="40"/>
      <c r="G51" s="40"/>
      <c r="H51" s="101">
        <f>IF(I57+I54&gt;=-0.01,0,1)</f>
        <v>0</v>
      </c>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row>
    <row r="52" spans="2:33" ht="15" customHeight="1">
      <c r="E52" s="25" t="s">
        <v>740</v>
      </c>
      <c r="F52" s="7" t="str">
        <f>Inputs!$D$7</f>
        <v>HUF</v>
      </c>
      <c r="G52" s="272">
        <f>Construction!$G$39+Construction!$G$40</f>
        <v>105930.77760000002</v>
      </c>
      <c r="H52" s="33"/>
    </row>
    <row r="53" spans="2:33" ht="15" customHeight="1">
      <c r="E53" s="25" t="s">
        <v>741</v>
      </c>
      <c r="F53" s="7" t="s">
        <v>274</v>
      </c>
      <c r="G53" s="265">
        <f>Inputs!$I$181</f>
        <v>25</v>
      </c>
    </row>
    <row r="54" spans="2:33" ht="15" customHeight="1">
      <c r="E54" s="25" t="s">
        <v>742</v>
      </c>
      <c r="F54" s="7" t="str">
        <f>Inputs!$D$7</f>
        <v>HUF</v>
      </c>
      <c r="I54" s="60">
        <f>SUM(K54:AG54)</f>
        <v>123331.77926453762</v>
      </c>
      <c r="K54" s="36">
        <f>Construction!K74+Financing!K48+Financing!K50</f>
        <v>0</v>
      </c>
      <c r="L54" s="36">
        <f>Construction!L74+Financing!L48+Financing!L50</f>
        <v>55795.50607488001</v>
      </c>
      <c r="M54" s="36">
        <f>Construction!M74+Financing!M48+Financing!M50</f>
        <v>67536.273189657601</v>
      </c>
      <c r="N54" s="36">
        <f>Construction!N74+Financing!N48+Financing!N50</f>
        <v>0</v>
      </c>
      <c r="O54" s="36">
        <f>Construction!O74+Financing!O48+Financing!O50</f>
        <v>0</v>
      </c>
      <c r="P54" s="36">
        <f>Construction!P74+Financing!P48+Financing!P50</f>
        <v>0</v>
      </c>
      <c r="Q54" s="36">
        <f>Construction!Q74+Financing!Q48+Financing!Q50</f>
        <v>0</v>
      </c>
      <c r="R54" s="36">
        <f>Construction!R74+Financing!R48+Financing!R50</f>
        <v>0</v>
      </c>
      <c r="S54" s="36">
        <f>Construction!S74+Financing!S48+Financing!S50</f>
        <v>0</v>
      </c>
      <c r="T54" s="36">
        <f>Construction!T74+Financing!T48+Financing!T50</f>
        <v>0</v>
      </c>
      <c r="U54" s="36">
        <f>Construction!U74+Financing!U48+Financing!U50</f>
        <v>0</v>
      </c>
      <c r="V54" s="36">
        <f>Construction!V74+Financing!V48+Financing!V50</f>
        <v>0</v>
      </c>
      <c r="W54" s="36">
        <f>Construction!W74+Financing!W48+Financing!W50</f>
        <v>0</v>
      </c>
      <c r="X54" s="36">
        <f>Construction!X74+Financing!X48+Financing!X50</f>
        <v>0</v>
      </c>
      <c r="Y54" s="36">
        <f>Construction!Y74+Financing!Y48+Financing!Y50</f>
        <v>0</v>
      </c>
      <c r="Z54" s="36">
        <f>Construction!Z74+Financing!Z48+Financing!Z50</f>
        <v>0</v>
      </c>
      <c r="AA54" s="36">
        <f>Construction!AA74+Financing!AA48+Financing!AA50</f>
        <v>0</v>
      </c>
      <c r="AB54" s="36">
        <f>Construction!AB74+Financing!AB48+Financing!AB50</f>
        <v>0</v>
      </c>
      <c r="AC54" s="36">
        <f>Construction!AC74+Financing!AC48+Financing!AC50</f>
        <v>0</v>
      </c>
      <c r="AD54" s="36">
        <f>Construction!AD74+Financing!AD48+Financing!AD50</f>
        <v>0</v>
      </c>
      <c r="AE54" s="36">
        <f>Construction!AE74+Financing!AE48+Financing!AE50</f>
        <v>0</v>
      </c>
      <c r="AF54" s="36">
        <f>Construction!AF74+Financing!AF48+Financing!AF50</f>
        <v>0</v>
      </c>
      <c r="AG54" s="36">
        <f>Construction!AG74+Financing!AG48+Financing!AG50</f>
        <v>0</v>
      </c>
    </row>
    <row r="55" spans="2:33" ht="15" customHeight="1">
      <c r="E55" s="25" t="s">
        <v>743</v>
      </c>
      <c r="F55" s="7" t="str">
        <f>Inputs!$D$7</f>
        <v>HUF</v>
      </c>
      <c r="G55" s="272">
        <f>IFERROR($I$54/$G$53,0)</f>
        <v>4933.2711705815045</v>
      </c>
    </row>
    <row r="56" spans="2:33" ht="15" customHeight="1">
      <c r="E56" s="25" t="s">
        <v>744</v>
      </c>
      <c r="F56" s="7" t="str">
        <f>Inputs!$D$7</f>
        <v>HUF</v>
      </c>
      <c r="G56" s="273"/>
      <c r="K56" s="36">
        <f>IF(K6=0,0,G58)</f>
        <v>0</v>
      </c>
      <c r="L56" s="36">
        <f t="shared" ref="L56:AG56" si="12">IF(L6=0,0,K58)</f>
        <v>0</v>
      </c>
      <c r="M56" s="36">
        <f t="shared" si="12"/>
        <v>55795.50607488001</v>
      </c>
      <c r="N56" s="36">
        <f t="shared" si="12"/>
        <v>123331.77926453762</v>
      </c>
      <c r="O56" s="36">
        <f t="shared" si="12"/>
        <v>118398.50809395612</v>
      </c>
      <c r="P56" s="36">
        <f t="shared" si="12"/>
        <v>113465.23692337461</v>
      </c>
      <c r="Q56" s="36">
        <f t="shared" si="12"/>
        <v>108531.96575279311</v>
      </c>
      <c r="R56" s="36">
        <f t="shared" si="12"/>
        <v>103598.69458221161</v>
      </c>
      <c r="S56" s="36">
        <f t="shared" si="12"/>
        <v>98665.423411630109</v>
      </c>
      <c r="T56" s="36">
        <f t="shared" si="12"/>
        <v>93732.152241048607</v>
      </c>
      <c r="U56" s="36">
        <f t="shared" si="12"/>
        <v>88798.881070467105</v>
      </c>
      <c r="V56" s="36">
        <f t="shared" si="12"/>
        <v>83865.609899885603</v>
      </c>
      <c r="W56" s="36">
        <f t="shared" si="12"/>
        <v>78932.338729304101</v>
      </c>
      <c r="X56" s="36">
        <f t="shared" si="12"/>
        <v>73999.0675587226</v>
      </c>
      <c r="Y56" s="36">
        <f t="shared" si="12"/>
        <v>69065.796388141098</v>
      </c>
      <c r="Z56" s="36">
        <f t="shared" si="12"/>
        <v>64132.525217559596</v>
      </c>
      <c r="AA56" s="36">
        <f t="shared" si="12"/>
        <v>59199.254046978094</v>
      </c>
      <c r="AB56" s="36">
        <f t="shared" si="12"/>
        <v>54265.982876396592</v>
      </c>
      <c r="AC56" s="36">
        <f t="shared" si="12"/>
        <v>49332.711705815091</v>
      </c>
      <c r="AD56" s="36">
        <f t="shared" si="12"/>
        <v>44399.440535233589</v>
      </c>
      <c r="AE56" s="36">
        <f t="shared" si="12"/>
        <v>39466.169364652087</v>
      </c>
      <c r="AF56" s="36">
        <f t="shared" si="12"/>
        <v>34532.898194070585</v>
      </c>
      <c r="AG56" s="36">
        <f t="shared" si="12"/>
        <v>29599.62702348908</v>
      </c>
    </row>
    <row r="57" spans="2:33" ht="15" customHeight="1">
      <c r="E57" s="25" t="s">
        <v>745</v>
      </c>
      <c r="F57" s="7" t="str">
        <f>Inputs!$D$7</f>
        <v>HUF</v>
      </c>
      <c r="I57" s="139">
        <f>SUM(K57:AG57)</f>
        <v>-98665.423411630065</v>
      </c>
      <c r="K57" s="36">
        <f t="shared" ref="K57:AG57" si="13">-MIN($G$55,K56+K54)*K10</f>
        <v>0</v>
      </c>
      <c r="L57" s="36">
        <f t="shared" si="13"/>
        <v>0</v>
      </c>
      <c r="M57" s="36">
        <f t="shared" si="13"/>
        <v>0</v>
      </c>
      <c r="N57" s="36">
        <f t="shared" si="13"/>
        <v>-4933.2711705815045</v>
      </c>
      <c r="O57" s="36">
        <f t="shared" si="13"/>
        <v>-4933.2711705815045</v>
      </c>
      <c r="P57" s="36">
        <f t="shared" si="13"/>
        <v>-4933.2711705815045</v>
      </c>
      <c r="Q57" s="36">
        <f t="shared" si="13"/>
        <v>-4933.2711705815045</v>
      </c>
      <c r="R57" s="36">
        <f t="shared" si="13"/>
        <v>-4933.2711705815045</v>
      </c>
      <c r="S57" s="36">
        <f t="shared" si="13"/>
        <v>-4933.2711705815045</v>
      </c>
      <c r="T57" s="36">
        <f t="shared" si="13"/>
        <v>-4933.2711705815045</v>
      </c>
      <c r="U57" s="36">
        <f t="shared" si="13"/>
        <v>-4933.2711705815045</v>
      </c>
      <c r="V57" s="36">
        <f t="shared" si="13"/>
        <v>-4933.2711705815045</v>
      </c>
      <c r="W57" s="36">
        <f t="shared" si="13"/>
        <v>-4933.2711705815045</v>
      </c>
      <c r="X57" s="36">
        <f t="shared" si="13"/>
        <v>-4933.2711705815045</v>
      </c>
      <c r="Y57" s="36">
        <f t="shared" si="13"/>
        <v>-4933.2711705815045</v>
      </c>
      <c r="Z57" s="36">
        <f t="shared" si="13"/>
        <v>-4933.2711705815045</v>
      </c>
      <c r="AA57" s="36">
        <f t="shared" si="13"/>
        <v>-4933.2711705815045</v>
      </c>
      <c r="AB57" s="36">
        <f t="shared" si="13"/>
        <v>-4933.2711705815045</v>
      </c>
      <c r="AC57" s="36">
        <f t="shared" si="13"/>
        <v>-4933.2711705815045</v>
      </c>
      <c r="AD57" s="36">
        <f t="shared" si="13"/>
        <v>-4933.2711705815045</v>
      </c>
      <c r="AE57" s="36">
        <f t="shared" si="13"/>
        <v>-4933.2711705815045</v>
      </c>
      <c r="AF57" s="36">
        <f t="shared" si="13"/>
        <v>-4933.2711705815045</v>
      </c>
      <c r="AG57" s="36">
        <f t="shared" si="13"/>
        <v>-4933.2711705815045</v>
      </c>
    </row>
    <row r="58" spans="2:33" ht="15" customHeight="1">
      <c r="E58" s="112" t="s">
        <v>746</v>
      </c>
      <c r="F58" s="107" t="str">
        <f>Inputs!$D$7</f>
        <v>HUF</v>
      </c>
      <c r="G58" s="108"/>
      <c r="H58" s="108"/>
      <c r="I58" s="108"/>
      <c r="J58" s="108"/>
      <c r="K58" s="122">
        <f t="shared" ref="K58:AG58" si="14">K56+K54+K57</f>
        <v>0</v>
      </c>
      <c r="L58" s="122">
        <f t="shared" si="14"/>
        <v>55795.50607488001</v>
      </c>
      <c r="M58" s="122">
        <f t="shared" si="14"/>
        <v>123331.77926453762</v>
      </c>
      <c r="N58" s="122">
        <f t="shared" si="14"/>
        <v>118398.50809395612</v>
      </c>
      <c r="O58" s="122">
        <f t="shared" si="14"/>
        <v>113465.23692337461</v>
      </c>
      <c r="P58" s="122">
        <f t="shared" si="14"/>
        <v>108531.96575279311</v>
      </c>
      <c r="Q58" s="122">
        <f t="shared" si="14"/>
        <v>103598.69458221161</v>
      </c>
      <c r="R58" s="122">
        <f t="shared" si="14"/>
        <v>98665.423411630109</v>
      </c>
      <c r="S58" s="122">
        <f t="shared" si="14"/>
        <v>93732.152241048607</v>
      </c>
      <c r="T58" s="122">
        <f t="shared" si="14"/>
        <v>88798.881070467105</v>
      </c>
      <c r="U58" s="122">
        <f t="shared" si="14"/>
        <v>83865.609899885603</v>
      </c>
      <c r="V58" s="122">
        <f t="shared" si="14"/>
        <v>78932.338729304101</v>
      </c>
      <c r="W58" s="122">
        <f t="shared" si="14"/>
        <v>73999.0675587226</v>
      </c>
      <c r="X58" s="122">
        <f t="shared" si="14"/>
        <v>69065.796388141098</v>
      </c>
      <c r="Y58" s="122">
        <f t="shared" si="14"/>
        <v>64132.525217559596</v>
      </c>
      <c r="Z58" s="122">
        <f t="shared" si="14"/>
        <v>59199.254046978094</v>
      </c>
      <c r="AA58" s="122">
        <f t="shared" si="14"/>
        <v>54265.982876396592</v>
      </c>
      <c r="AB58" s="122">
        <f t="shared" si="14"/>
        <v>49332.711705815091</v>
      </c>
      <c r="AC58" s="122">
        <f t="shared" si="14"/>
        <v>44399.440535233589</v>
      </c>
      <c r="AD58" s="122">
        <f t="shared" si="14"/>
        <v>39466.169364652087</v>
      </c>
      <c r="AE58" s="122">
        <f t="shared" si="14"/>
        <v>34532.898194070585</v>
      </c>
      <c r="AF58" s="122">
        <f t="shared" si="14"/>
        <v>29599.62702348908</v>
      </c>
      <c r="AG58" s="122">
        <f t="shared" si="14"/>
        <v>24666.355852907574</v>
      </c>
    </row>
    <row r="60" spans="2:33" ht="15" customHeight="1">
      <c r="B60" s="40"/>
      <c r="C60" s="14" t="s">
        <v>749</v>
      </c>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row>
    <row r="62" spans="2:33" ht="15" customHeight="1">
      <c r="E62" s="11" t="s">
        <v>750</v>
      </c>
      <c r="F62" s="7" t="str">
        <f>Inputs!$D$7</f>
        <v>HUF</v>
      </c>
      <c r="I62" s="60">
        <f>SUM(K62:AG62)</f>
        <v>729608.92972853757</v>
      </c>
      <c r="K62" s="36">
        <f t="shared" ref="K62:AG62" si="15">K18+K27+K36+K45+K54</f>
        <v>0</v>
      </c>
      <c r="L62" s="36">
        <f t="shared" si="15"/>
        <v>355932.70927488001</v>
      </c>
      <c r="M62" s="36">
        <f t="shared" si="15"/>
        <v>373676.22045365756</v>
      </c>
      <c r="N62" s="36">
        <f t="shared" si="15"/>
        <v>0</v>
      </c>
      <c r="O62" s="36">
        <f t="shared" si="15"/>
        <v>0</v>
      </c>
      <c r="P62" s="36">
        <f t="shared" si="15"/>
        <v>0</v>
      </c>
      <c r="Q62" s="36">
        <f t="shared" si="15"/>
        <v>0</v>
      </c>
      <c r="R62" s="36">
        <f t="shared" si="15"/>
        <v>0</v>
      </c>
      <c r="S62" s="36">
        <f t="shared" si="15"/>
        <v>0</v>
      </c>
      <c r="T62" s="36">
        <f t="shared" si="15"/>
        <v>0</v>
      </c>
      <c r="U62" s="36">
        <f t="shared" si="15"/>
        <v>0</v>
      </c>
      <c r="V62" s="36">
        <f t="shared" si="15"/>
        <v>0</v>
      </c>
      <c r="W62" s="36">
        <f t="shared" si="15"/>
        <v>0</v>
      </c>
      <c r="X62" s="36">
        <f t="shared" si="15"/>
        <v>0</v>
      </c>
      <c r="Y62" s="36">
        <f t="shared" si="15"/>
        <v>0</v>
      </c>
      <c r="Z62" s="36">
        <f t="shared" si="15"/>
        <v>0</v>
      </c>
      <c r="AA62" s="36">
        <f t="shared" si="15"/>
        <v>0</v>
      </c>
      <c r="AB62" s="36">
        <f t="shared" si="15"/>
        <v>0</v>
      </c>
      <c r="AC62" s="36">
        <f t="shared" si="15"/>
        <v>0</v>
      </c>
      <c r="AD62" s="36">
        <f t="shared" si="15"/>
        <v>0</v>
      </c>
      <c r="AE62" s="36">
        <f t="shared" si="15"/>
        <v>0</v>
      </c>
      <c r="AF62" s="36">
        <f t="shared" si="15"/>
        <v>0</v>
      </c>
      <c r="AG62" s="36">
        <f t="shared" si="15"/>
        <v>0</v>
      </c>
    </row>
    <row r="63" spans="2:33" ht="15" customHeight="1">
      <c r="E63" s="11" t="s">
        <v>751</v>
      </c>
      <c r="F63" s="7" t="str">
        <f>Inputs!$D$7</f>
        <v>HUF</v>
      </c>
      <c r="I63" s="60">
        <f>SUM(K63:AG63)</f>
        <v>-599604.62387562997</v>
      </c>
      <c r="K63" s="36">
        <f t="shared" ref="K63:AG63" si="16">K21+K30+K39+K48+K57</f>
        <v>0</v>
      </c>
      <c r="L63" s="36">
        <f t="shared" si="16"/>
        <v>0</v>
      </c>
      <c r="M63" s="36">
        <f t="shared" si="16"/>
        <v>0</v>
      </c>
      <c r="N63" s="36">
        <f t="shared" si="16"/>
        <v>-34307.071193781507</v>
      </c>
      <c r="O63" s="36">
        <f t="shared" si="16"/>
        <v>-34307.071193781507</v>
      </c>
      <c r="P63" s="36">
        <f t="shared" si="16"/>
        <v>-34307.071193781507</v>
      </c>
      <c r="Q63" s="36">
        <f t="shared" si="16"/>
        <v>-34307.071193781507</v>
      </c>
      <c r="R63" s="36">
        <f t="shared" si="16"/>
        <v>-34307.071193781507</v>
      </c>
      <c r="S63" s="36">
        <f t="shared" si="16"/>
        <v>-34307.071193781507</v>
      </c>
      <c r="T63" s="36">
        <f t="shared" si="16"/>
        <v>-34307.071193781507</v>
      </c>
      <c r="U63" s="36">
        <f t="shared" si="16"/>
        <v>-34307.071193781507</v>
      </c>
      <c r="V63" s="36">
        <f t="shared" si="16"/>
        <v>-34307.071193781507</v>
      </c>
      <c r="W63" s="36">
        <f t="shared" si="16"/>
        <v>-34307.071193781507</v>
      </c>
      <c r="X63" s="36">
        <f t="shared" si="16"/>
        <v>-34307.071193781507</v>
      </c>
      <c r="Y63" s="36">
        <f t="shared" si="16"/>
        <v>-34307.071193781507</v>
      </c>
      <c r="Z63" s="36">
        <f t="shared" si="16"/>
        <v>-34307.071193781507</v>
      </c>
      <c r="AA63" s="36">
        <f t="shared" si="16"/>
        <v>-34307.071193781507</v>
      </c>
      <c r="AB63" s="36">
        <f t="shared" si="16"/>
        <v>-34307.071193781507</v>
      </c>
      <c r="AC63" s="36">
        <f t="shared" si="16"/>
        <v>-16999.711193781564</v>
      </c>
      <c r="AD63" s="36">
        <f t="shared" si="16"/>
        <v>-16999.711193781506</v>
      </c>
      <c r="AE63" s="36">
        <f t="shared" si="16"/>
        <v>-16999.711193781506</v>
      </c>
      <c r="AF63" s="36">
        <f t="shared" si="16"/>
        <v>-16999.711193781506</v>
      </c>
      <c r="AG63" s="36">
        <f t="shared" si="16"/>
        <v>-16999.711193781484</v>
      </c>
    </row>
    <row r="64" spans="2:33" ht="15" customHeight="1">
      <c r="E64" s="11" t="s">
        <v>752</v>
      </c>
      <c r="F64" s="7" t="str">
        <f>Inputs!$D$7</f>
        <v>HUF</v>
      </c>
      <c r="G64" s="273"/>
      <c r="K64" s="36">
        <f t="shared" ref="K64:AG64" si="17">K22+K31+K40+K49+K58</f>
        <v>0</v>
      </c>
      <c r="L64" s="36">
        <f t="shared" si="17"/>
        <v>355932.70927488001</v>
      </c>
      <c r="M64" s="36">
        <f t="shared" si="17"/>
        <v>729608.92972853757</v>
      </c>
      <c r="N64" s="36">
        <f t="shared" si="17"/>
        <v>695301.85853475612</v>
      </c>
      <c r="O64" s="36">
        <f t="shared" si="17"/>
        <v>660994.78734097455</v>
      </c>
      <c r="P64" s="36">
        <f t="shared" si="17"/>
        <v>626687.71614719322</v>
      </c>
      <c r="Q64" s="36">
        <f t="shared" si="17"/>
        <v>592380.64495341177</v>
      </c>
      <c r="R64" s="36">
        <f t="shared" si="17"/>
        <v>558073.57375963021</v>
      </c>
      <c r="S64" s="36">
        <f t="shared" si="17"/>
        <v>523766.50256584876</v>
      </c>
      <c r="T64" s="36">
        <f t="shared" si="17"/>
        <v>489459.43137206725</v>
      </c>
      <c r="U64" s="36">
        <f t="shared" si="17"/>
        <v>455152.36017828574</v>
      </c>
      <c r="V64" s="36">
        <f t="shared" si="17"/>
        <v>420845.28898450424</v>
      </c>
      <c r="W64" s="36">
        <f t="shared" si="17"/>
        <v>386538.21779072273</v>
      </c>
      <c r="X64" s="36">
        <f t="shared" si="17"/>
        <v>352231.14659694128</v>
      </c>
      <c r="Y64" s="36">
        <f t="shared" si="17"/>
        <v>317924.07540315978</v>
      </c>
      <c r="Z64" s="36">
        <f t="shared" si="17"/>
        <v>283617.00420937827</v>
      </c>
      <c r="AA64" s="36">
        <f t="shared" si="17"/>
        <v>249309.93301559673</v>
      </c>
      <c r="AB64" s="36">
        <f t="shared" si="17"/>
        <v>215002.86182181526</v>
      </c>
      <c r="AC64" s="36">
        <f t="shared" si="17"/>
        <v>198003.15062803368</v>
      </c>
      <c r="AD64" s="36">
        <f t="shared" si="17"/>
        <v>181003.43943425216</v>
      </c>
      <c r="AE64" s="36">
        <f t="shared" si="17"/>
        <v>164003.72824047066</v>
      </c>
      <c r="AF64" s="36">
        <f t="shared" si="17"/>
        <v>147004.01704668914</v>
      </c>
      <c r="AG64" s="36">
        <f t="shared" si="17"/>
        <v>130004.30585290768</v>
      </c>
    </row>
    <row r="65" spans="5:33" ht="15" customHeight="1">
      <c r="E65" s="11" t="s">
        <v>753</v>
      </c>
      <c r="F65" s="7" t="str">
        <f>Inputs!$D$7</f>
        <v>HUF</v>
      </c>
      <c r="G65" s="273"/>
      <c r="K65" s="36">
        <f>-K63</f>
        <v>0</v>
      </c>
      <c r="L65" s="36">
        <f t="shared" ref="L65:AG65" si="18">IF(L6=0,0,K65)-L63</f>
        <v>0</v>
      </c>
      <c r="M65" s="36">
        <f t="shared" si="18"/>
        <v>0</v>
      </c>
      <c r="N65" s="36">
        <f t="shared" si="18"/>
        <v>34307.071193781507</v>
      </c>
      <c r="O65" s="36">
        <f t="shared" si="18"/>
        <v>68614.142387563013</v>
      </c>
      <c r="P65" s="36">
        <f t="shared" si="18"/>
        <v>102921.21358134452</v>
      </c>
      <c r="Q65" s="36">
        <f t="shared" si="18"/>
        <v>137228.28477512603</v>
      </c>
      <c r="R65" s="36">
        <f t="shared" si="18"/>
        <v>171535.35596890753</v>
      </c>
      <c r="S65" s="36">
        <f t="shared" si="18"/>
        <v>205842.42716268904</v>
      </c>
      <c r="T65" s="36">
        <f t="shared" si="18"/>
        <v>240149.49835647055</v>
      </c>
      <c r="U65" s="36">
        <f t="shared" si="18"/>
        <v>274456.56955025205</v>
      </c>
      <c r="V65" s="36">
        <f t="shared" si="18"/>
        <v>308763.64074403356</v>
      </c>
      <c r="W65" s="36">
        <f t="shared" si="18"/>
        <v>343070.71193781507</v>
      </c>
      <c r="X65" s="36">
        <f t="shared" si="18"/>
        <v>377377.78313159657</v>
      </c>
      <c r="Y65" s="36">
        <f t="shared" si="18"/>
        <v>411684.85432537808</v>
      </c>
      <c r="Z65" s="36">
        <f t="shared" si="18"/>
        <v>445991.92551915959</v>
      </c>
      <c r="AA65" s="36">
        <f t="shared" si="18"/>
        <v>480298.99671294109</v>
      </c>
      <c r="AB65" s="36">
        <f t="shared" si="18"/>
        <v>514606.0679067226</v>
      </c>
      <c r="AC65" s="36">
        <f t="shared" si="18"/>
        <v>531605.77910050412</v>
      </c>
      <c r="AD65" s="36">
        <f t="shared" si="18"/>
        <v>548605.49029428558</v>
      </c>
      <c r="AE65" s="36">
        <f t="shared" si="18"/>
        <v>565605.20148806705</v>
      </c>
      <c r="AF65" s="36">
        <f t="shared" si="18"/>
        <v>582604.91268184851</v>
      </c>
      <c r="AG65" s="36">
        <f t="shared" si="18"/>
        <v>599604.62387562997</v>
      </c>
    </row>
  </sheetData>
  <conditionalFormatting sqref="K10:AG10">
    <cfRule type="cellIs" dxfId="2" priority="1" operator="equal">
      <formula>1</formula>
    </cfRule>
  </conditionalFormatting>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B2:AH36"/>
  <sheetViews>
    <sheetView showGridLines="0" zoomScale="55" zoomScaleNormal="55" workbookViewId="0">
      <pane xSplit="10" ySplit="13" topLeftCell="K14" activePane="bottomRight" state="frozen"/>
      <selection pane="bottomRight" activeCell="N21" sqref="N21"/>
      <selection pane="bottomLeft" activeCell="A14" sqref="A14"/>
      <selection pane="topRight" activeCell="K1" sqref="K1"/>
    </sheetView>
  </sheetViews>
  <sheetFormatPr defaultColWidth="8.7109375" defaultRowHeight="14.25"/>
  <cols>
    <col min="1" max="1" width="2.85546875" customWidth="1"/>
    <col min="2" max="2" width="3.42578125" customWidth="1"/>
    <col min="3" max="3" width="7.42578125" customWidth="1"/>
    <col min="4" max="4" width="3.7109375" customWidth="1"/>
    <col min="5" max="5" width="44.7109375" customWidth="1"/>
    <col min="6" max="6" width="13.85546875" customWidth="1"/>
    <col min="7" max="7" width="13" customWidth="1"/>
    <col min="8" max="8" width="9" customWidth="1"/>
    <col min="9" max="9" width="13" customWidth="1"/>
    <col min="10" max="10" width="22.28515625" customWidth="1"/>
    <col min="11" max="11" width="11.42578125" customWidth="1"/>
    <col min="12" max="33" width="9.5703125" bestFit="1" customWidth="1"/>
    <col min="34" max="34" width="1" style="89" customWidth="1"/>
  </cols>
  <sheetData>
    <row r="2" spans="2:33" ht="15" customHeight="1">
      <c r="C2" s="318"/>
      <c r="E2" s="11"/>
      <c r="G2" s="11" t="s">
        <v>615</v>
      </c>
      <c r="H2" s="281">
        <f>SUM(H14:H36)</f>
        <v>0</v>
      </c>
    </row>
    <row r="3" spans="2:33" ht="15" customHeight="1">
      <c r="C3" s="88" t="s">
        <v>567</v>
      </c>
      <c r="D3" s="317" t="str">
        <f>'Control Panel'!D7&amp;":"&amp;'Control Panel'!D6</f>
        <v>Cascade geothermal:Base</v>
      </c>
      <c r="E3" s="11"/>
      <c r="J3" s="11" t="s">
        <v>568</v>
      </c>
      <c r="K3" s="91">
        <f>Dates!O2</f>
        <v>46388</v>
      </c>
      <c r="L3" s="92">
        <f>Dates!P2</f>
        <v>46753</v>
      </c>
      <c r="M3" s="92">
        <f>Dates!Q2</f>
        <v>47119</v>
      </c>
      <c r="N3" s="92">
        <f>Dates!R2</f>
        <v>47484</v>
      </c>
      <c r="O3" s="92">
        <f>Dates!S2</f>
        <v>47849</v>
      </c>
      <c r="P3" s="92">
        <f>Dates!T2</f>
        <v>48214</v>
      </c>
      <c r="Q3" s="92">
        <f>Dates!U2</f>
        <v>48580</v>
      </c>
      <c r="R3" s="92">
        <f>Dates!V2</f>
        <v>48945</v>
      </c>
      <c r="S3" s="92">
        <f>Dates!W2</f>
        <v>49310</v>
      </c>
      <c r="T3" s="92">
        <f>Dates!X2</f>
        <v>49675</v>
      </c>
      <c r="U3" s="92">
        <f>Dates!Y2</f>
        <v>50041</v>
      </c>
      <c r="V3" s="92">
        <f>Dates!Z2</f>
        <v>50406</v>
      </c>
      <c r="W3" s="92">
        <f>Dates!AA2</f>
        <v>50771</v>
      </c>
      <c r="X3" s="92">
        <f>Dates!AB2</f>
        <v>51136</v>
      </c>
      <c r="Y3" s="92">
        <f>Dates!AC2</f>
        <v>51502</v>
      </c>
      <c r="Z3" s="92">
        <f>Dates!AD2</f>
        <v>51867</v>
      </c>
      <c r="AA3" s="92">
        <f>Dates!AE2</f>
        <v>52232</v>
      </c>
      <c r="AB3" s="92">
        <f>Dates!AF2</f>
        <v>52597</v>
      </c>
      <c r="AC3" s="92">
        <f>Dates!AG2</f>
        <v>52963</v>
      </c>
      <c r="AD3" s="92">
        <f>Dates!AH2</f>
        <v>53328</v>
      </c>
      <c r="AE3" s="92">
        <f>Dates!AI2</f>
        <v>53693</v>
      </c>
      <c r="AF3" s="92">
        <f>Dates!AJ2</f>
        <v>54058</v>
      </c>
      <c r="AG3" s="92">
        <f>Dates!AK2</f>
        <v>54424</v>
      </c>
    </row>
    <row r="4" spans="2:33" ht="15" customHeight="1">
      <c r="E4" s="11"/>
      <c r="J4" s="11" t="s">
        <v>569</v>
      </c>
      <c r="K4" s="259">
        <f>Dates!O3</f>
        <v>46752</v>
      </c>
      <c r="L4" s="32">
        <f>Dates!P3</f>
        <v>47118</v>
      </c>
      <c r="M4" s="32">
        <f>Dates!Q3</f>
        <v>47483</v>
      </c>
      <c r="N4" s="32">
        <f>Dates!R3</f>
        <v>47848</v>
      </c>
      <c r="O4" s="32">
        <f>Dates!S3</f>
        <v>48213</v>
      </c>
      <c r="P4" s="32">
        <f>Dates!T3</f>
        <v>48579</v>
      </c>
      <c r="Q4" s="32">
        <f>Dates!U3</f>
        <v>48944</v>
      </c>
      <c r="R4" s="32">
        <f>Dates!V3</f>
        <v>49309</v>
      </c>
      <c r="S4" s="32">
        <f>Dates!W3</f>
        <v>49674</v>
      </c>
      <c r="T4" s="32">
        <f>Dates!X3</f>
        <v>50040</v>
      </c>
      <c r="U4" s="32">
        <f>Dates!Y3</f>
        <v>50405</v>
      </c>
      <c r="V4" s="32">
        <f>Dates!Z3</f>
        <v>50770</v>
      </c>
      <c r="W4" s="32">
        <f>Dates!AA3</f>
        <v>51135</v>
      </c>
      <c r="X4" s="32">
        <f>Dates!AB3</f>
        <v>51501</v>
      </c>
      <c r="Y4" s="32">
        <f>Dates!AC3</f>
        <v>51866</v>
      </c>
      <c r="Z4" s="32">
        <f>Dates!AD3</f>
        <v>52231</v>
      </c>
      <c r="AA4" s="32">
        <f>Dates!AE3</f>
        <v>52596</v>
      </c>
      <c r="AB4" s="32">
        <f>Dates!AF3</f>
        <v>52962</v>
      </c>
      <c r="AC4" s="32">
        <f>Dates!AG3</f>
        <v>53327</v>
      </c>
      <c r="AD4" s="32">
        <f>Dates!AH3</f>
        <v>53692</v>
      </c>
      <c r="AE4" s="32">
        <f>Dates!AI3</f>
        <v>54057</v>
      </c>
      <c r="AF4" s="32">
        <f>Dates!AJ3</f>
        <v>54423</v>
      </c>
      <c r="AG4" s="32">
        <f>Dates!AK3</f>
        <v>54788</v>
      </c>
    </row>
    <row r="5" spans="2:33" ht="15" customHeight="1">
      <c r="E5" s="11"/>
      <c r="J5" s="11" t="s">
        <v>101</v>
      </c>
      <c r="K5" s="95">
        <f>Dates!O4</f>
        <v>2027</v>
      </c>
      <c r="L5" s="96">
        <f>Dates!P4</f>
        <v>2028</v>
      </c>
      <c r="M5" s="96">
        <f>Dates!Q4</f>
        <v>2029</v>
      </c>
      <c r="N5" s="96">
        <f>Dates!R4</f>
        <v>2030</v>
      </c>
      <c r="O5" s="96">
        <f>Dates!S4</f>
        <v>2031</v>
      </c>
      <c r="P5" s="96">
        <f>Dates!T4</f>
        <v>2032</v>
      </c>
      <c r="Q5" s="96">
        <f>Dates!U4</f>
        <v>2033</v>
      </c>
      <c r="R5" s="96">
        <f>Dates!V4</f>
        <v>2034</v>
      </c>
      <c r="S5" s="96">
        <f>Dates!W4</f>
        <v>2035</v>
      </c>
      <c r="T5" s="96">
        <f>Dates!X4</f>
        <v>2036</v>
      </c>
      <c r="U5" s="96">
        <f>Dates!Y4</f>
        <v>2037</v>
      </c>
      <c r="V5" s="96">
        <f>Dates!Z4</f>
        <v>2038</v>
      </c>
      <c r="W5" s="96">
        <f>Dates!AA4</f>
        <v>2039</v>
      </c>
      <c r="X5" s="96">
        <f>Dates!AB4</f>
        <v>2040</v>
      </c>
      <c r="Y5" s="96">
        <f>Dates!AC4</f>
        <v>2041</v>
      </c>
      <c r="Z5" s="96">
        <f>Dates!AD4</f>
        <v>2042</v>
      </c>
      <c r="AA5" s="96">
        <f>Dates!AE4</f>
        <v>2043</v>
      </c>
      <c r="AB5" s="96">
        <f>Dates!AF4</f>
        <v>2044</v>
      </c>
      <c r="AC5" s="96">
        <f>Dates!AG4</f>
        <v>2045</v>
      </c>
      <c r="AD5" s="96">
        <f>Dates!AH4</f>
        <v>2046</v>
      </c>
      <c r="AE5" s="96">
        <f>Dates!AI4</f>
        <v>2047</v>
      </c>
      <c r="AF5" s="96">
        <f>Dates!AJ4</f>
        <v>2048</v>
      </c>
      <c r="AG5" s="96">
        <f>Dates!AK4</f>
        <v>2049</v>
      </c>
    </row>
    <row r="6" spans="2:33" ht="15" customHeight="1">
      <c r="E6" s="11"/>
      <c r="J6" s="11" t="s">
        <v>570</v>
      </c>
      <c r="K6" s="97">
        <f>Dates!O8</f>
        <v>0</v>
      </c>
      <c r="L6" s="98">
        <f>Dates!P8</f>
        <v>1</v>
      </c>
      <c r="M6" s="98">
        <f>Dates!Q8</f>
        <v>2</v>
      </c>
      <c r="N6" s="98">
        <f>Dates!R8</f>
        <v>3</v>
      </c>
      <c r="O6" s="98">
        <f>Dates!S8</f>
        <v>4</v>
      </c>
      <c r="P6" s="98">
        <f>Dates!T8</f>
        <v>5</v>
      </c>
      <c r="Q6" s="98">
        <f>Dates!U8</f>
        <v>6</v>
      </c>
      <c r="R6" s="98">
        <f>Dates!V8</f>
        <v>7</v>
      </c>
      <c r="S6" s="98">
        <f>Dates!W8</f>
        <v>8</v>
      </c>
      <c r="T6" s="98">
        <f>Dates!X8</f>
        <v>9</v>
      </c>
      <c r="U6" s="98">
        <f>Dates!Y8</f>
        <v>10</v>
      </c>
      <c r="V6" s="98">
        <f>Dates!Z8</f>
        <v>11</v>
      </c>
      <c r="W6" s="98">
        <f>Dates!AA8</f>
        <v>12</v>
      </c>
      <c r="X6" s="98">
        <f>Dates!AB8</f>
        <v>13</v>
      </c>
      <c r="Y6" s="98">
        <f>Dates!AC8</f>
        <v>14</v>
      </c>
      <c r="Z6" s="98">
        <f>Dates!AD8</f>
        <v>15</v>
      </c>
      <c r="AA6" s="98">
        <f>Dates!AE8</f>
        <v>16</v>
      </c>
      <c r="AB6" s="98">
        <f>Dates!AF8</f>
        <v>17</v>
      </c>
      <c r="AC6" s="98">
        <f>Dates!AG8</f>
        <v>18</v>
      </c>
      <c r="AD6" s="98">
        <f>Dates!AH8</f>
        <v>19</v>
      </c>
      <c r="AE6" s="98">
        <f>Dates!AI8</f>
        <v>20</v>
      </c>
      <c r="AF6" s="98">
        <f>Dates!AJ8</f>
        <v>21</v>
      </c>
      <c r="AG6" s="98">
        <f>Dates!AK8</f>
        <v>22</v>
      </c>
    </row>
    <row r="7" spans="2:33">
      <c r="K7" s="34"/>
      <c r="L7" s="34"/>
      <c r="M7" s="34"/>
      <c r="N7" s="34"/>
      <c r="O7" s="34"/>
      <c r="P7" s="34"/>
      <c r="Q7" s="34"/>
      <c r="R7" s="34"/>
      <c r="S7" s="34"/>
      <c r="T7" s="34"/>
      <c r="U7" s="34"/>
      <c r="V7" s="34"/>
      <c r="W7" s="34"/>
      <c r="X7" s="34"/>
      <c r="Y7" s="34"/>
      <c r="Z7" s="34"/>
      <c r="AA7" s="34"/>
      <c r="AB7" s="34"/>
      <c r="AC7" s="34"/>
      <c r="AD7" s="34"/>
      <c r="AE7" s="34"/>
      <c r="AF7" s="34"/>
      <c r="AG7" s="34"/>
    </row>
    <row r="8" spans="2:33" ht="15" customHeight="1">
      <c r="B8" s="40"/>
      <c r="C8" s="14" t="s">
        <v>571</v>
      </c>
      <c r="D8" s="40"/>
      <c r="E8" s="40"/>
      <c r="F8" s="40"/>
      <c r="G8" s="40"/>
      <c r="H8" s="40"/>
      <c r="I8" s="40"/>
      <c r="J8" s="40"/>
      <c r="K8" s="135"/>
      <c r="L8" s="135"/>
      <c r="M8" s="135"/>
      <c r="N8" s="135"/>
      <c r="O8" s="135"/>
      <c r="P8" s="135"/>
      <c r="Q8" s="135"/>
      <c r="R8" s="135"/>
      <c r="S8" s="135"/>
      <c r="T8" s="135"/>
      <c r="U8" s="135"/>
      <c r="V8" s="135"/>
      <c r="W8" s="135"/>
      <c r="X8" s="135"/>
      <c r="Y8" s="135"/>
      <c r="Z8" s="135"/>
      <c r="AA8" s="135"/>
      <c r="AB8" s="135"/>
      <c r="AC8" s="135"/>
      <c r="AD8" s="135"/>
      <c r="AE8" s="135"/>
      <c r="AF8" s="135"/>
      <c r="AG8" s="135"/>
    </row>
    <row r="9" spans="2:33">
      <c r="K9" s="34"/>
      <c r="L9" s="34"/>
      <c r="M9" s="34"/>
      <c r="N9" s="34"/>
      <c r="O9" s="34"/>
      <c r="P9" s="34"/>
      <c r="Q9" s="34"/>
      <c r="R9" s="34"/>
      <c r="S9" s="34"/>
      <c r="T9" s="34"/>
      <c r="U9" s="34"/>
      <c r="V9" s="34"/>
      <c r="W9" s="34"/>
      <c r="X9" s="34"/>
      <c r="Y9" s="34"/>
      <c r="Z9" s="34"/>
      <c r="AA9" s="34"/>
      <c r="AB9" s="34"/>
      <c r="AC9" s="34"/>
      <c r="AD9" s="34"/>
      <c r="AE9" s="34"/>
      <c r="AF9" s="34"/>
      <c r="AG9" s="34"/>
    </row>
    <row r="10" spans="2:33" ht="15" customHeight="1">
      <c r="E10" s="25" t="s">
        <v>556</v>
      </c>
      <c r="K10" s="38">
        <f>Dates!O16</f>
        <v>0</v>
      </c>
      <c r="L10" s="38">
        <f>Dates!P16</f>
        <v>1</v>
      </c>
      <c r="M10" s="38">
        <f>Dates!Q16</f>
        <v>1</v>
      </c>
      <c r="N10" s="38">
        <f>Dates!R16</f>
        <v>0</v>
      </c>
      <c r="O10" s="38">
        <f>Dates!S16</f>
        <v>0</v>
      </c>
      <c r="P10" s="38">
        <f>Dates!T16</f>
        <v>0</v>
      </c>
      <c r="Q10" s="38">
        <f>Dates!U16</f>
        <v>0</v>
      </c>
      <c r="R10" s="38">
        <f>Dates!V16</f>
        <v>0</v>
      </c>
      <c r="S10" s="38">
        <f>Dates!W16</f>
        <v>0</v>
      </c>
      <c r="T10" s="38">
        <f>Dates!X16</f>
        <v>0</v>
      </c>
      <c r="U10" s="38">
        <f>Dates!Y16</f>
        <v>0</v>
      </c>
      <c r="V10" s="38">
        <f>Dates!Z16</f>
        <v>0</v>
      </c>
      <c r="W10" s="38">
        <f>Dates!AA16</f>
        <v>0</v>
      </c>
      <c r="X10" s="38">
        <f>Dates!AB16</f>
        <v>0</v>
      </c>
      <c r="Y10" s="38">
        <f>Dates!AC16</f>
        <v>0</v>
      </c>
      <c r="Z10" s="38">
        <f>Dates!AD16</f>
        <v>0</v>
      </c>
      <c r="AA10" s="38">
        <f>Dates!AE16</f>
        <v>0</v>
      </c>
      <c r="AB10" s="38">
        <f>Dates!AF16</f>
        <v>0</v>
      </c>
      <c r="AC10" s="38">
        <f>Dates!AG16</f>
        <v>0</v>
      </c>
      <c r="AD10" s="38">
        <f>Dates!AH16</f>
        <v>0</v>
      </c>
      <c r="AE10" s="38">
        <f>Dates!AI16</f>
        <v>0</v>
      </c>
      <c r="AF10" s="38">
        <f>Dates!AJ16</f>
        <v>0</v>
      </c>
      <c r="AG10" s="100">
        <f>Dates!AK16</f>
        <v>0</v>
      </c>
    </row>
    <row r="11" spans="2:33" ht="15" customHeight="1">
      <c r="E11" s="25" t="s">
        <v>557</v>
      </c>
      <c r="K11" s="38">
        <f>Dates!O17</f>
        <v>0</v>
      </c>
      <c r="L11" s="38">
        <f>Dates!P17</f>
        <v>0</v>
      </c>
      <c r="M11" s="38">
        <f>Dates!Q17</f>
        <v>0</v>
      </c>
      <c r="N11" s="38">
        <f>Dates!R17</f>
        <v>1</v>
      </c>
      <c r="O11" s="38">
        <f>Dates!S17</f>
        <v>1</v>
      </c>
      <c r="P11" s="38">
        <f>Dates!T17</f>
        <v>1</v>
      </c>
      <c r="Q11" s="38">
        <f>Dates!U17</f>
        <v>1</v>
      </c>
      <c r="R11" s="38">
        <f>Dates!V17</f>
        <v>1</v>
      </c>
      <c r="S11" s="38">
        <f>Dates!W17</f>
        <v>1</v>
      </c>
      <c r="T11" s="38">
        <f>Dates!X17</f>
        <v>1</v>
      </c>
      <c r="U11" s="38">
        <f>Dates!Y17</f>
        <v>1</v>
      </c>
      <c r="V11" s="38">
        <f>Dates!Z17</f>
        <v>1</v>
      </c>
      <c r="W11" s="38">
        <f>Dates!AA17</f>
        <v>1</v>
      </c>
      <c r="X11" s="38">
        <f>Dates!AB17</f>
        <v>1</v>
      </c>
      <c r="Y11" s="38">
        <f>Dates!AC17</f>
        <v>1</v>
      </c>
      <c r="Z11" s="38">
        <f>Dates!AD17</f>
        <v>1</v>
      </c>
      <c r="AA11" s="38">
        <f>Dates!AE17</f>
        <v>1</v>
      </c>
      <c r="AB11" s="38">
        <f>Dates!AF17</f>
        <v>1</v>
      </c>
      <c r="AC11" s="38">
        <f>Dates!AG17</f>
        <v>1</v>
      </c>
      <c r="AD11" s="38">
        <f>Dates!AH17</f>
        <v>1</v>
      </c>
      <c r="AE11" s="38">
        <f>Dates!AI17</f>
        <v>1</v>
      </c>
      <c r="AF11" s="38">
        <f>Dates!AJ17</f>
        <v>1</v>
      </c>
      <c r="AG11" s="100">
        <f>Dates!AK17</f>
        <v>1</v>
      </c>
    </row>
    <row r="12" spans="2:33">
      <c r="K12" s="34"/>
      <c r="L12" s="34"/>
      <c r="M12" s="34"/>
      <c r="N12" s="34"/>
      <c r="O12" s="34"/>
      <c r="P12" s="34"/>
      <c r="Q12" s="34"/>
      <c r="R12" s="34"/>
      <c r="S12" s="34"/>
      <c r="T12" s="34"/>
      <c r="U12" s="34"/>
      <c r="V12" s="34"/>
      <c r="W12" s="34"/>
      <c r="X12" s="34"/>
      <c r="Y12" s="34"/>
      <c r="Z12" s="34"/>
      <c r="AA12" s="34"/>
      <c r="AB12" s="34"/>
      <c r="AC12" s="34"/>
      <c r="AD12" s="34"/>
      <c r="AE12" s="34"/>
      <c r="AF12" s="34"/>
      <c r="AG12" s="34"/>
    </row>
    <row r="13" spans="2:33" ht="15" customHeight="1">
      <c r="E13" s="25" t="s">
        <v>754</v>
      </c>
      <c r="G13" s="33">
        <f>H16</f>
        <v>0</v>
      </c>
      <c r="K13" s="34"/>
      <c r="L13" s="34"/>
      <c r="M13" s="34"/>
      <c r="N13" s="34"/>
      <c r="O13" s="34"/>
      <c r="P13" s="34"/>
      <c r="Q13" s="34"/>
      <c r="R13" s="34"/>
      <c r="S13" s="34"/>
      <c r="T13" s="34"/>
      <c r="U13" s="34"/>
      <c r="V13" s="34"/>
      <c r="W13" s="34"/>
      <c r="X13" s="34"/>
      <c r="Y13" s="34"/>
      <c r="Z13" s="34"/>
      <c r="AA13" s="34"/>
      <c r="AB13" s="34"/>
      <c r="AC13" s="34"/>
      <c r="AD13" s="34"/>
      <c r="AE13" s="34"/>
      <c r="AF13" s="34"/>
      <c r="AG13" s="34"/>
    </row>
    <row r="14" spans="2:33">
      <c r="K14" s="34"/>
      <c r="L14" s="34"/>
      <c r="M14" s="34"/>
      <c r="N14" s="34"/>
      <c r="O14" s="34"/>
      <c r="P14" s="34"/>
      <c r="Q14" s="34"/>
      <c r="R14" s="34"/>
      <c r="S14" s="34"/>
      <c r="T14" s="34"/>
      <c r="U14" s="34"/>
      <c r="V14" s="34"/>
      <c r="W14" s="34"/>
      <c r="X14" s="34"/>
      <c r="Y14" s="34"/>
      <c r="Z14" s="34"/>
      <c r="AA14" s="34"/>
      <c r="AB14" s="34"/>
      <c r="AC14" s="34"/>
      <c r="AD14" s="34"/>
      <c r="AE14" s="34"/>
      <c r="AF14" s="34"/>
      <c r="AG14" s="34"/>
    </row>
    <row r="15" spans="2:33">
      <c r="K15" s="34"/>
      <c r="L15" s="34"/>
      <c r="M15" s="34"/>
      <c r="N15" s="34"/>
      <c r="O15" s="34"/>
      <c r="P15" s="34"/>
      <c r="Q15" s="34"/>
      <c r="R15" s="34"/>
      <c r="S15" s="34"/>
      <c r="T15" s="34"/>
      <c r="U15" s="34"/>
      <c r="V15" s="34"/>
      <c r="W15" s="34"/>
      <c r="X15" s="34"/>
      <c r="Y15" s="34"/>
      <c r="Z15" s="34"/>
      <c r="AA15" s="34"/>
      <c r="AB15" s="34"/>
      <c r="AC15" s="34"/>
      <c r="AD15" s="34"/>
      <c r="AE15" s="34"/>
      <c r="AF15" s="34"/>
      <c r="AG15" s="34"/>
    </row>
    <row r="16" spans="2:33" ht="15" customHeight="1">
      <c r="B16" s="40"/>
      <c r="C16" s="14" t="s">
        <v>755</v>
      </c>
      <c r="D16" s="40"/>
      <c r="E16" s="40"/>
      <c r="F16" s="40"/>
      <c r="G16" s="40"/>
      <c r="H16" s="101">
        <f>IF(SUMPRODUCT(ABS(K21:AG21-(K18:AG18+K19:AG19+K20:AG20)))&lt;0.01,0,1)</f>
        <v>0</v>
      </c>
      <c r="I16" s="40"/>
      <c r="J16" s="40"/>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row>
    <row r="17" spans="2:33">
      <c r="K17" s="34"/>
      <c r="L17" s="34"/>
      <c r="M17" s="34"/>
      <c r="N17" s="34"/>
      <c r="O17" s="34"/>
      <c r="P17" s="34"/>
      <c r="Q17" s="34"/>
      <c r="R17" s="34"/>
      <c r="S17" s="34"/>
      <c r="T17" s="34"/>
      <c r="U17" s="34"/>
      <c r="V17" s="34"/>
      <c r="W17" s="34"/>
      <c r="X17" s="34"/>
      <c r="Y17" s="34"/>
      <c r="Z17" s="34"/>
      <c r="AA17" s="34"/>
      <c r="AB17" s="34"/>
      <c r="AC17" s="34"/>
      <c r="AD17" s="34"/>
      <c r="AE17" s="34"/>
      <c r="AF17" s="34"/>
      <c r="AG17" s="34"/>
    </row>
    <row r="18" spans="2:33" ht="15" customHeight="1">
      <c r="E18" s="25" t="s">
        <v>669</v>
      </c>
      <c r="F18" s="7" t="str">
        <f>Inputs!$D$7</f>
        <v>HUF</v>
      </c>
      <c r="I18" s="280">
        <f>SUM(K18:AG18)</f>
        <v>1812790.4506880573</v>
      </c>
      <c r="K18" s="36">
        <f>Operations!K91</f>
        <v>0</v>
      </c>
      <c r="L18" s="36">
        <f>Operations!L91</f>
        <v>0</v>
      </c>
      <c r="M18" s="36">
        <f>Operations!M91</f>
        <v>0</v>
      </c>
      <c r="N18" s="36">
        <f>Operations!N91</f>
        <v>68596.941725047218</v>
      </c>
      <c r="O18" s="36">
        <f>Operations!O91</f>
        <v>70545.095744079095</v>
      </c>
      <c r="P18" s="36">
        <f>Operations!P91</f>
        <v>72548.131453004884</v>
      </c>
      <c r="Q18" s="36">
        <f>Operations!Q91</f>
        <v>74607.582445353226</v>
      </c>
      <c r="R18" s="36">
        <f>Operations!R91</f>
        <v>76725.024824754102</v>
      </c>
      <c r="S18" s="36">
        <f>Operations!S91</f>
        <v>78902.078373805969</v>
      </c>
      <c r="T18" s="36">
        <f>Operations!T91</f>
        <v>81140.407754818749</v>
      </c>
      <c r="U18" s="36">
        <f>Operations!U91</f>
        <v>83441.723743293682</v>
      </c>
      <c r="V18" s="36">
        <f>Operations!V91</f>
        <v>85807.784495025597</v>
      </c>
      <c r="W18" s="36">
        <f>Operations!W91</f>
        <v>88240.396847735639</v>
      </c>
      <c r="X18" s="36">
        <f>Operations!X91</f>
        <v>90741.417658167891</v>
      </c>
      <c r="Y18" s="36">
        <f>Operations!Y91</f>
        <v>93312.755175607221</v>
      </c>
      <c r="Z18" s="36">
        <f>Operations!Z91</f>
        <v>95956.370452801973</v>
      </c>
      <c r="AA18" s="36">
        <f>Operations!AA91</f>
        <v>98674.278795301463</v>
      </c>
      <c r="AB18" s="36">
        <f>Operations!AB91</f>
        <v>101468.55125024536</v>
      </c>
      <c r="AC18" s="36">
        <f>Operations!AC91</f>
        <v>104341.31613566855</v>
      </c>
      <c r="AD18" s="36">
        <f>Operations!AD91</f>
        <v>107294.76061141508</v>
      </c>
      <c r="AE18" s="36">
        <f>Operations!AE91</f>
        <v>110331.13229278354</v>
      </c>
      <c r="AF18" s="36">
        <f>Operations!AF91</f>
        <v>113452.74090805593</v>
      </c>
      <c r="AG18" s="36">
        <f>Operations!AG91</f>
        <v>116661.96000109207</v>
      </c>
    </row>
    <row r="19" spans="2:33" ht="15" customHeight="1">
      <c r="E19" s="25" t="s">
        <v>745</v>
      </c>
      <c r="F19" s="7" t="str">
        <f>Inputs!$D$7</f>
        <v>HUF</v>
      </c>
      <c r="I19" s="280">
        <f>SUM(K19:AG19)</f>
        <v>-721197.11147816549</v>
      </c>
      <c r="K19" s="36">
        <f>FS!K94</f>
        <v>0</v>
      </c>
      <c r="L19" s="36">
        <f>FS!L94</f>
        <v>0</v>
      </c>
      <c r="M19" s="36">
        <f>FS!M94</f>
        <v>0</v>
      </c>
      <c r="N19" s="36">
        <f>FS!N94</f>
        <v>-145921.78594570752</v>
      </c>
      <c r="O19" s="36">
        <f>FS!O94</f>
        <v>-116737.42875656602</v>
      </c>
      <c r="P19" s="36">
        <f>FS!P94</f>
        <v>-93389.943005252819</v>
      </c>
      <c r="Q19" s="36">
        <f>FS!Q94</f>
        <v>-74711.954404202261</v>
      </c>
      <c r="R19" s="36">
        <f>FS!R94</f>
        <v>-59769.563523361809</v>
      </c>
      <c r="S19" s="36">
        <f>FS!S94</f>
        <v>-47815.65081868945</v>
      </c>
      <c r="T19" s="36">
        <f>FS!T94</f>
        <v>-38252.520654951564</v>
      </c>
      <c r="U19" s="36">
        <f>FS!U94</f>
        <v>-30602.016523961247</v>
      </c>
      <c r="V19" s="36">
        <f>FS!V94</f>
        <v>-24481.613219168998</v>
      </c>
      <c r="W19" s="36">
        <f>FS!W94</f>
        <v>-19585.290575335199</v>
      </c>
      <c r="X19" s="36">
        <f>FS!X94</f>
        <v>-15668.23246026816</v>
      </c>
      <c r="Y19" s="36">
        <f>FS!Y94</f>
        <v>-12534.585968214527</v>
      </c>
      <c r="Z19" s="36">
        <f>FS!Z94</f>
        <v>-10027.668774571623</v>
      </c>
      <c r="AA19" s="36">
        <f>FS!AA94</f>
        <v>-8022.1350196572985</v>
      </c>
      <c r="AB19" s="36">
        <f>FS!AB94</f>
        <v>-6417.7080157258388</v>
      </c>
      <c r="AC19" s="36">
        <f>FS!AC94</f>
        <v>-5134.166412580671</v>
      </c>
      <c r="AD19" s="36">
        <f>FS!AD94</f>
        <v>-4107.3331300645368</v>
      </c>
      <c r="AE19" s="36">
        <f>FS!AE94</f>
        <v>-3285.8665040516298</v>
      </c>
      <c r="AF19" s="36">
        <f>FS!AF94</f>
        <v>-2628.6932032413038</v>
      </c>
      <c r="AG19" s="36">
        <f>FS!AG94</f>
        <v>-2102.9545625930427</v>
      </c>
    </row>
    <row r="20" spans="2:33" ht="15" customHeight="1">
      <c r="E20" s="25" t="s">
        <v>756</v>
      </c>
      <c r="F20" s="7" t="str">
        <f>Inputs!$D$7</f>
        <v>HUF</v>
      </c>
      <c r="I20" s="280">
        <f>SUM(K20:AG20)</f>
        <v>-194748.62576855128</v>
      </c>
      <c r="K20" s="36">
        <f>-Financing!K49</f>
        <v>0</v>
      </c>
      <c r="L20" s="36">
        <f>-Financing!L49</f>
        <v>0</v>
      </c>
      <c r="M20" s="36">
        <f>-Financing!M49</f>
        <v>0</v>
      </c>
      <c r="N20" s="36">
        <f>-Financing!N49</f>
        <v>-21462.211126425595</v>
      </c>
      <c r="O20" s="36">
        <f>-Financing!O49</f>
        <v>-20540.135215841889</v>
      </c>
      <c r="P20" s="36">
        <f>-Financing!P49</f>
        <v>-19562.734750623156</v>
      </c>
      <c r="Q20" s="36">
        <f>-Financing!Q49</f>
        <v>-18526.6902574913</v>
      </c>
      <c r="R20" s="36">
        <f>-Financing!R49</f>
        <v>-17428.483094771535</v>
      </c>
      <c r="S20" s="36">
        <f>-Financing!S49</f>
        <v>-16264.383502288581</v>
      </c>
      <c r="T20" s="36">
        <f>-Financing!T49</f>
        <v>-15030.437934256652</v>
      </c>
      <c r="U20" s="36">
        <f>-Financing!U49</f>
        <v>-13722.455632142806</v>
      </c>
      <c r="V20" s="36">
        <f>-Financing!V49</f>
        <v>-12335.99439190213</v>
      </c>
      <c r="W20" s="36">
        <f>-Financing!W49</f>
        <v>-10866.345477247014</v>
      </c>
      <c r="X20" s="36">
        <f>-Financing!X49</f>
        <v>-9308.517627712592</v>
      </c>
      <c r="Y20" s="36">
        <f>-Financing!Y49</f>
        <v>-7657.2201072061034</v>
      </c>
      <c r="Z20" s="36">
        <f>-Financing!Z49</f>
        <v>-5906.8447354692244</v>
      </c>
      <c r="AA20" s="36">
        <f>-Financing!AA49</f>
        <v>-4051.4468414281332</v>
      </c>
      <c r="AB20" s="36">
        <f>-Financing!AB49</f>
        <v>-2084.7250737445765</v>
      </c>
      <c r="AC20" s="36">
        <f>-Financing!AC49</f>
        <v>-6.9849193096160886E-12</v>
      </c>
      <c r="AD20" s="36">
        <f>-Financing!AD49</f>
        <v>0</v>
      </c>
      <c r="AE20" s="36">
        <f>-Financing!AE49</f>
        <v>0</v>
      </c>
      <c r="AF20" s="36">
        <f>-Financing!AF49</f>
        <v>0</v>
      </c>
      <c r="AG20" s="36">
        <f>-Financing!AG49</f>
        <v>0</v>
      </c>
    </row>
    <row r="21" spans="2:33" ht="15" customHeight="1">
      <c r="E21" s="11" t="s">
        <v>757</v>
      </c>
      <c r="F21" s="7" t="str">
        <f>Inputs!$D$7</f>
        <v>HUF</v>
      </c>
      <c r="I21" s="280">
        <f>SUM(K21:AG21)</f>
        <v>896844.71344134049</v>
      </c>
      <c r="K21" s="36">
        <f t="shared" ref="K21:AG21" si="0">K18+K19+K20</f>
        <v>0</v>
      </c>
      <c r="L21" s="36">
        <f t="shared" si="0"/>
        <v>0</v>
      </c>
      <c r="M21" s="36">
        <f t="shared" si="0"/>
        <v>0</v>
      </c>
      <c r="N21" s="36">
        <f t="shared" si="0"/>
        <v>-98787.055347085901</v>
      </c>
      <c r="O21" s="36">
        <f t="shared" si="0"/>
        <v>-66732.468228328813</v>
      </c>
      <c r="P21" s="36">
        <f t="shared" si="0"/>
        <v>-40404.546302871095</v>
      </c>
      <c r="Q21" s="36">
        <f t="shared" si="0"/>
        <v>-18631.062216340335</v>
      </c>
      <c r="R21" s="36">
        <f t="shared" si="0"/>
        <v>-473.02179337924099</v>
      </c>
      <c r="S21" s="36">
        <f t="shared" si="0"/>
        <v>14822.044052827938</v>
      </c>
      <c r="T21" s="36">
        <f t="shared" si="0"/>
        <v>27857.449165610531</v>
      </c>
      <c r="U21" s="36">
        <f t="shared" si="0"/>
        <v>39117.251587189632</v>
      </c>
      <c r="V21" s="36">
        <f t="shared" si="0"/>
        <v>48990.176883954467</v>
      </c>
      <c r="W21" s="36">
        <f t="shared" si="0"/>
        <v>57788.76079515343</v>
      </c>
      <c r="X21" s="36">
        <f t="shared" si="0"/>
        <v>65764.667570187143</v>
      </c>
      <c r="Y21" s="36">
        <f t="shared" si="0"/>
        <v>73120.949100186597</v>
      </c>
      <c r="Z21" s="36">
        <f t="shared" si="0"/>
        <v>80021.856942761136</v>
      </c>
      <c r="AA21" s="36">
        <f t="shared" si="0"/>
        <v>86600.69693421603</v>
      </c>
      <c r="AB21" s="36">
        <f t="shared" si="0"/>
        <v>92966.11816077496</v>
      </c>
      <c r="AC21" s="36">
        <f t="shared" si="0"/>
        <v>99207.149723087874</v>
      </c>
      <c r="AD21" s="36">
        <f t="shared" si="0"/>
        <v>103187.42748135055</v>
      </c>
      <c r="AE21" s="36">
        <f t="shared" si="0"/>
        <v>107045.26578873191</v>
      </c>
      <c r="AF21" s="36">
        <f t="shared" si="0"/>
        <v>110824.04770481463</v>
      </c>
      <c r="AG21" s="36">
        <f t="shared" si="0"/>
        <v>114559.00543849902</v>
      </c>
    </row>
    <row r="22" spans="2:33">
      <c r="K22" s="34"/>
      <c r="L22" s="34"/>
      <c r="M22" s="34"/>
      <c r="N22" s="34"/>
      <c r="O22" s="34"/>
      <c r="P22" s="34"/>
      <c r="Q22" s="34"/>
      <c r="R22" s="34"/>
      <c r="S22" s="34"/>
      <c r="T22" s="34"/>
      <c r="U22" s="34"/>
      <c r="V22" s="34"/>
      <c r="W22" s="34"/>
      <c r="X22" s="34"/>
      <c r="Y22" s="34"/>
      <c r="Z22" s="34"/>
      <c r="AA22" s="34"/>
      <c r="AB22" s="34"/>
      <c r="AC22" s="34"/>
      <c r="AD22" s="34"/>
      <c r="AE22" s="34"/>
      <c r="AF22" s="34"/>
      <c r="AG22" s="34"/>
    </row>
    <row r="23" spans="2:33" ht="15" customHeight="1">
      <c r="B23" s="40"/>
      <c r="C23" s="14" t="s">
        <v>758</v>
      </c>
      <c r="D23" s="40"/>
      <c r="E23" s="40"/>
      <c r="F23" s="40"/>
      <c r="G23" s="40"/>
      <c r="H23" s="40"/>
      <c r="I23" s="40"/>
      <c r="J23" s="40"/>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row>
    <row r="24" spans="2:33">
      <c r="K24" s="34"/>
      <c r="L24" s="34"/>
      <c r="M24" s="34"/>
      <c r="N24" s="34"/>
      <c r="O24" s="34"/>
      <c r="P24" s="34"/>
      <c r="Q24" s="34"/>
      <c r="R24" s="34"/>
      <c r="S24" s="34"/>
      <c r="T24" s="34"/>
      <c r="U24" s="34"/>
      <c r="V24" s="34"/>
      <c r="W24" s="34"/>
      <c r="X24" s="34"/>
      <c r="Y24" s="34"/>
      <c r="Z24" s="34"/>
      <c r="AA24" s="34"/>
      <c r="AB24" s="34"/>
      <c r="AC24" s="34"/>
      <c r="AD24" s="34"/>
      <c r="AE24" s="34"/>
      <c r="AF24" s="34"/>
      <c r="AG24" s="34"/>
    </row>
    <row r="25" spans="2:33" ht="15" customHeight="1">
      <c r="E25" s="25" t="s">
        <v>759</v>
      </c>
      <c r="G25" s="278" t="str">
        <f>Inputs!$I$119</f>
        <v>Yes</v>
      </c>
      <c r="K25" s="34"/>
      <c r="L25" s="34"/>
      <c r="M25" s="34"/>
      <c r="N25" s="34"/>
      <c r="O25" s="34"/>
      <c r="P25" s="34"/>
      <c r="Q25" s="34"/>
      <c r="R25" s="34"/>
      <c r="S25" s="34"/>
      <c r="T25" s="34"/>
      <c r="U25" s="34"/>
      <c r="V25" s="34"/>
      <c r="W25" s="34"/>
      <c r="X25" s="34"/>
      <c r="Y25" s="34"/>
      <c r="Z25" s="34"/>
      <c r="AA25" s="34"/>
      <c r="AB25" s="34"/>
      <c r="AC25" s="34"/>
      <c r="AD25" s="34"/>
      <c r="AE25" s="34"/>
      <c r="AF25" s="34"/>
      <c r="AG25" s="34"/>
    </row>
    <row r="26" spans="2:33" ht="15" customHeight="1">
      <c r="E26" s="25" t="s">
        <v>760</v>
      </c>
      <c r="F26" s="7" t="str">
        <f>Inputs!$D$7</f>
        <v>HUF</v>
      </c>
      <c r="K26" s="36">
        <f>IF(K6=0,0,G29)</f>
        <v>0</v>
      </c>
      <c r="L26" s="36">
        <f t="shared" ref="L26:AG26" si="1">IF(L6=0,0,K29)</f>
        <v>0</v>
      </c>
      <c r="M26" s="36">
        <f t="shared" si="1"/>
        <v>0</v>
      </c>
      <c r="N26" s="36">
        <f t="shared" si="1"/>
        <v>0</v>
      </c>
      <c r="O26" s="36">
        <f t="shared" si="1"/>
        <v>98787.055347085901</v>
      </c>
      <c r="P26" s="36">
        <f t="shared" si="1"/>
        <v>165519.52357541473</v>
      </c>
      <c r="Q26" s="36">
        <f t="shared" si="1"/>
        <v>205924.06987828581</v>
      </c>
      <c r="R26" s="36">
        <f t="shared" si="1"/>
        <v>224555.13209462614</v>
      </c>
      <c r="S26" s="36">
        <f t="shared" si="1"/>
        <v>225028.15388800538</v>
      </c>
      <c r="T26" s="36">
        <f t="shared" si="1"/>
        <v>210206.10983517746</v>
      </c>
      <c r="U26" s="36">
        <f t="shared" si="1"/>
        <v>182348.66066956692</v>
      </c>
      <c r="V26" s="36">
        <f t="shared" si="1"/>
        <v>143231.40908237727</v>
      </c>
      <c r="W26" s="36">
        <f t="shared" si="1"/>
        <v>94241.232198422804</v>
      </c>
      <c r="X26" s="36">
        <f t="shared" si="1"/>
        <v>36452.471403269374</v>
      </c>
      <c r="Y26" s="36">
        <f t="shared" si="1"/>
        <v>0</v>
      </c>
      <c r="Z26" s="36">
        <f t="shared" si="1"/>
        <v>0</v>
      </c>
      <c r="AA26" s="36">
        <f t="shared" si="1"/>
        <v>0</v>
      </c>
      <c r="AB26" s="36">
        <f t="shared" si="1"/>
        <v>0</v>
      </c>
      <c r="AC26" s="36">
        <f t="shared" si="1"/>
        <v>0</v>
      </c>
      <c r="AD26" s="36">
        <f t="shared" si="1"/>
        <v>0</v>
      </c>
      <c r="AE26" s="36">
        <f t="shared" si="1"/>
        <v>0</v>
      </c>
      <c r="AF26" s="36">
        <f t="shared" si="1"/>
        <v>0</v>
      </c>
      <c r="AG26" s="36">
        <f t="shared" si="1"/>
        <v>0</v>
      </c>
    </row>
    <row r="27" spans="2:33" ht="15" customHeight="1">
      <c r="E27" s="25" t="s">
        <v>761</v>
      </c>
      <c r="F27" s="7" t="str">
        <f>Inputs!$D$7</f>
        <v>HUF</v>
      </c>
      <c r="K27" s="36">
        <f>IF(Inputs!$I$119="Yes",MAX(0,-K21),0)</f>
        <v>0</v>
      </c>
      <c r="L27" s="36">
        <f>IF(Inputs!$I$119="Yes",MAX(0,-L21),0)</f>
        <v>0</v>
      </c>
      <c r="M27" s="36">
        <f>IF(Inputs!$I$119="Yes",MAX(0,-M21),0)</f>
        <v>0</v>
      </c>
      <c r="N27" s="36">
        <f>IF(Inputs!$I$119="Yes",MAX(0,-N21),0)</f>
        <v>98787.055347085901</v>
      </c>
      <c r="O27" s="36">
        <f>IF(Inputs!$I$119="Yes",MAX(0,-O21),0)</f>
        <v>66732.468228328813</v>
      </c>
      <c r="P27" s="36">
        <f>IF(Inputs!$I$119="Yes",MAX(0,-P21),0)</f>
        <v>40404.546302871095</v>
      </c>
      <c r="Q27" s="36">
        <f>IF(Inputs!$I$119="Yes",MAX(0,-Q21),0)</f>
        <v>18631.062216340335</v>
      </c>
      <c r="R27" s="36">
        <f>IF(Inputs!$I$119="Yes",MAX(0,-R21),0)</f>
        <v>473.02179337924099</v>
      </c>
      <c r="S27" s="36">
        <f>IF(Inputs!$I$119="Yes",MAX(0,-S21),0)</f>
        <v>0</v>
      </c>
      <c r="T27" s="36">
        <f>IF(Inputs!$I$119="Yes",MAX(0,-T21),0)</f>
        <v>0</v>
      </c>
      <c r="U27" s="36">
        <f>IF(Inputs!$I$119="Yes",MAX(0,-U21),0)</f>
        <v>0</v>
      </c>
      <c r="V27" s="36">
        <f>IF(Inputs!$I$119="Yes",MAX(0,-V21),0)</f>
        <v>0</v>
      </c>
      <c r="W27" s="36">
        <f>IF(Inputs!$I$119="Yes",MAX(0,-W21),0)</f>
        <v>0</v>
      </c>
      <c r="X27" s="36">
        <f>IF(Inputs!$I$119="Yes",MAX(0,-X21),0)</f>
        <v>0</v>
      </c>
      <c r="Y27" s="36">
        <f>IF(Inputs!$I$119="Yes",MAX(0,-Y21),0)</f>
        <v>0</v>
      </c>
      <c r="Z27" s="36">
        <f>IF(Inputs!$I$119="Yes",MAX(0,-Z21),0)</f>
        <v>0</v>
      </c>
      <c r="AA27" s="36">
        <f>IF(Inputs!$I$119="Yes",MAX(0,-AA21),0)</f>
        <v>0</v>
      </c>
      <c r="AB27" s="36">
        <f>IF(Inputs!$I$119="Yes",MAX(0,-AB21),0)</f>
        <v>0</v>
      </c>
      <c r="AC27" s="36">
        <f>IF(Inputs!$I$119="Yes",MAX(0,-AC21),0)</f>
        <v>0</v>
      </c>
      <c r="AD27" s="36">
        <f>IF(Inputs!$I$119="Yes",MAX(0,-AD21),0)</f>
        <v>0</v>
      </c>
      <c r="AE27" s="36">
        <f>IF(Inputs!$I$119="Yes",MAX(0,-AE21),0)</f>
        <v>0</v>
      </c>
      <c r="AF27" s="36">
        <f>IF(Inputs!$I$119="Yes",MAX(0,-AF21),0)</f>
        <v>0</v>
      </c>
      <c r="AG27" s="36">
        <f>IF(Inputs!$I$119="Yes",MAX(0,-AG21),0)</f>
        <v>0</v>
      </c>
    </row>
    <row r="28" spans="2:33" ht="15" customHeight="1">
      <c r="E28" s="25" t="s">
        <v>762</v>
      </c>
      <c r="F28" s="7" t="str">
        <f>Inputs!$D$7</f>
        <v>HUF</v>
      </c>
      <c r="K28" s="36">
        <f t="shared" ref="K28:AG28" si="2">-MIN(K26,MAX(0,K21))</f>
        <v>0</v>
      </c>
      <c r="L28" s="36">
        <f t="shared" si="2"/>
        <v>0</v>
      </c>
      <c r="M28" s="36">
        <f t="shared" si="2"/>
        <v>0</v>
      </c>
      <c r="N28" s="36">
        <f t="shared" si="2"/>
        <v>0</v>
      </c>
      <c r="O28" s="36">
        <f t="shared" si="2"/>
        <v>0</v>
      </c>
      <c r="P28" s="36">
        <f t="shared" si="2"/>
        <v>0</v>
      </c>
      <c r="Q28" s="36">
        <f t="shared" si="2"/>
        <v>0</v>
      </c>
      <c r="R28" s="36">
        <f t="shared" si="2"/>
        <v>0</v>
      </c>
      <c r="S28" s="36">
        <f t="shared" si="2"/>
        <v>-14822.044052827938</v>
      </c>
      <c r="T28" s="36">
        <f t="shared" si="2"/>
        <v>-27857.449165610531</v>
      </c>
      <c r="U28" s="36">
        <f t="shared" si="2"/>
        <v>-39117.251587189632</v>
      </c>
      <c r="V28" s="36">
        <f t="shared" si="2"/>
        <v>-48990.176883954467</v>
      </c>
      <c r="W28" s="36">
        <f t="shared" si="2"/>
        <v>-57788.76079515343</v>
      </c>
      <c r="X28" s="36">
        <f t="shared" si="2"/>
        <v>-36452.471403269374</v>
      </c>
      <c r="Y28" s="36">
        <f t="shared" si="2"/>
        <v>0</v>
      </c>
      <c r="Z28" s="36">
        <f t="shared" si="2"/>
        <v>0</v>
      </c>
      <c r="AA28" s="36">
        <f t="shared" si="2"/>
        <v>0</v>
      </c>
      <c r="AB28" s="36">
        <f t="shared" si="2"/>
        <v>0</v>
      </c>
      <c r="AC28" s="36">
        <f t="shared" si="2"/>
        <v>0</v>
      </c>
      <c r="AD28" s="36">
        <f t="shared" si="2"/>
        <v>0</v>
      </c>
      <c r="AE28" s="36">
        <f t="shared" si="2"/>
        <v>0</v>
      </c>
      <c r="AF28" s="36">
        <f t="shared" si="2"/>
        <v>0</v>
      </c>
      <c r="AG28" s="36">
        <f t="shared" si="2"/>
        <v>0</v>
      </c>
    </row>
    <row r="29" spans="2:33" ht="15" customHeight="1">
      <c r="E29" s="11" t="s">
        <v>763</v>
      </c>
      <c r="F29" s="7" t="str">
        <f>Inputs!$D$7</f>
        <v>HUF</v>
      </c>
      <c r="K29" s="36">
        <f t="shared" ref="K29:AG29" si="3">MAX(0,K26+K27+K28)</f>
        <v>0</v>
      </c>
      <c r="L29" s="36">
        <f t="shared" si="3"/>
        <v>0</v>
      </c>
      <c r="M29" s="36">
        <f t="shared" si="3"/>
        <v>0</v>
      </c>
      <c r="N29" s="36">
        <f t="shared" si="3"/>
        <v>98787.055347085901</v>
      </c>
      <c r="O29" s="36">
        <f t="shared" si="3"/>
        <v>165519.52357541473</v>
      </c>
      <c r="P29" s="36">
        <f t="shared" si="3"/>
        <v>205924.06987828581</v>
      </c>
      <c r="Q29" s="36">
        <f t="shared" si="3"/>
        <v>224555.13209462614</v>
      </c>
      <c r="R29" s="36">
        <f t="shared" si="3"/>
        <v>225028.15388800538</v>
      </c>
      <c r="S29" s="36">
        <f t="shared" si="3"/>
        <v>210206.10983517746</v>
      </c>
      <c r="T29" s="36">
        <f t="shared" si="3"/>
        <v>182348.66066956692</v>
      </c>
      <c r="U29" s="36">
        <f t="shared" si="3"/>
        <v>143231.40908237727</v>
      </c>
      <c r="V29" s="36">
        <f t="shared" si="3"/>
        <v>94241.232198422804</v>
      </c>
      <c r="W29" s="36">
        <f t="shared" si="3"/>
        <v>36452.471403269374</v>
      </c>
      <c r="X29" s="36">
        <f t="shared" si="3"/>
        <v>0</v>
      </c>
      <c r="Y29" s="36">
        <f t="shared" si="3"/>
        <v>0</v>
      </c>
      <c r="Z29" s="36">
        <f t="shared" si="3"/>
        <v>0</v>
      </c>
      <c r="AA29" s="36">
        <f t="shared" si="3"/>
        <v>0</v>
      </c>
      <c r="AB29" s="36">
        <f t="shared" si="3"/>
        <v>0</v>
      </c>
      <c r="AC29" s="36">
        <f t="shared" si="3"/>
        <v>0</v>
      </c>
      <c r="AD29" s="36">
        <f t="shared" si="3"/>
        <v>0</v>
      </c>
      <c r="AE29" s="36">
        <f t="shared" si="3"/>
        <v>0</v>
      </c>
      <c r="AF29" s="36">
        <f t="shared" si="3"/>
        <v>0</v>
      </c>
      <c r="AG29" s="36">
        <f t="shared" si="3"/>
        <v>0</v>
      </c>
    </row>
    <row r="30" spans="2:33">
      <c r="K30" s="34"/>
      <c r="L30" s="34"/>
      <c r="M30" s="34"/>
      <c r="N30" s="34"/>
      <c r="O30" s="34"/>
      <c r="P30" s="34"/>
      <c r="Q30" s="34"/>
      <c r="R30" s="34"/>
      <c r="S30" s="34"/>
      <c r="T30" s="34"/>
      <c r="U30" s="34"/>
      <c r="V30" s="34"/>
      <c r="W30" s="34"/>
      <c r="X30" s="34"/>
      <c r="Y30" s="34"/>
      <c r="Z30" s="34"/>
      <c r="AA30" s="34"/>
      <c r="AB30" s="34"/>
      <c r="AC30" s="34"/>
      <c r="AD30" s="34"/>
      <c r="AE30" s="34"/>
      <c r="AF30" s="34"/>
      <c r="AG30" s="34"/>
    </row>
    <row r="31" spans="2:33" ht="15" customHeight="1">
      <c r="B31" s="40"/>
      <c r="C31" s="14" t="s">
        <v>764</v>
      </c>
      <c r="D31" s="40"/>
      <c r="E31" s="40"/>
      <c r="F31" s="40"/>
      <c r="G31" s="40"/>
      <c r="H31" s="40"/>
      <c r="I31" s="40"/>
      <c r="J31" s="40"/>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row>
    <row r="32" spans="2:33">
      <c r="K32" s="34"/>
      <c r="L32" s="34"/>
      <c r="M32" s="34"/>
      <c r="N32" s="34"/>
      <c r="O32" s="34"/>
      <c r="P32" s="34"/>
      <c r="Q32" s="34"/>
      <c r="R32" s="34"/>
      <c r="S32" s="34"/>
      <c r="T32" s="34"/>
      <c r="U32" s="34"/>
      <c r="V32" s="34"/>
      <c r="W32" s="34"/>
      <c r="X32" s="34"/>
      <c r="Y32" s="34"/>
      <c r="Z32" s="34"/>
      <c r="AA32" s="34"/>
      <c r="AB32" s="34"/>
      <c r="AC32" s="34"/>
      <c r="AD32" s="34"/>
      <c r="AE32" s="34"/>
      <c r="AF32" s="34"/>
      <c r="AG32" s="34"/>
    </row>
    <row r="33" spans="5:33" ht="15" customHeight="1">
      <c r="E33" s="25" t="s">
        <v>765</v>
      </c>
      <c r="F33" s="7" t="s">
        <v>115</v>
      </c>
      <c r="G33" s="279">
        <f>Inputs!$I$117</f>
        <v>0.09</v>
      </c>
      <c r="K33" s="34"/>
      <c r="L33" s="34"/>
      <c r="M33" s="34"/>
      <c r="N33" s="34"/>
      <c r="O33" s="34"/>
      <c r="P33" s="34"/>
      <c r="Q33" s="34"/>
      <c r="R33" s="34"/>
      <c r="S33" s="34"/>
      <c r="T33" s="34"/>
      <c r="U33" s="34"/>
      <c r="V33" s="34"/>
      <c r="W33" s="34"/>
      <c r="X33" s="34"/>
      <c r="Y33" s="34"/>
      <c r="Z33" s="34"/>
      <c r="AA33" s="34"/>
      <c r="AB33" s="34"/>
      <c r="AC33" s="34"/>
      <c r="AD33" s="34"/>
      <c r="AE33" s="34"/>
      <c r="AF33" s="34"/>
      <c r="AG33" s="34"/>
    </row>
    <row r="34" spans="5:33" ht="15" customHeight="1">
      <c r="E34" s="25" t="s">
        <v>766</v>
      </c>
      <c r="F34" s="7" t="str">
        <f>Inputs!$D$7</f>
        <v>HUF</v>
      </c>
      <c r="I34" s="280">
        <f>SUM(K34:AG34)</f>
        <v>896844.71344134049</v>
      </c>
      <c r="K34" s="36">
        <f t="shared" ref="K34:AG34" si="4">MAX(0,K21+K28)</f>
        <v>0</v>
      </c>
      <c r="L34" s="36">
        <f t="shared" si="4"/>
        <v>0</v>
      </c>
      <c r="M34" s="36">
        <f t="shared" si="4"/>
        <v>0</v>
      </c>
      <c r="N34" s="36">
        <f t="shared" si="4"/>
        <v>0</v>
      </c>
      <c r="O34" s="36">
        <f t="shared" si="4"/>
        <v>0</v>
      </c>
      <c r="P34" s="36">
        <f t="shared" si="4"/>
        <v>0</v>
      </c>
      <c r="Q34" s="36">
        <f t="shared" si="4"/>
        <v>0</v>
      </c>
      <c r="R34" s="36">
        <f t="shared" si="4"/>
        <v>0</v>
      </c>
      <c r="S34" s="36">
        <f t="shared" si="4"/>
        <v>0</v>
      </c>
      <c r="T34" s="36">
        <f t="shared" si="4"/>
        <v>0</v>
      </c>
      <c r="U34" s="36">
        <f t="shared" si="4"/>
        <v>0</v>
      </c>
      <c r="V34" s="36">
        <f t="shared" si="4"/>
        <v>0</v>
      </c>
      <c r="W34" s="36">
        <f t="shared" si="4"/>
        <v>0</v>
      </c>
      <c r="X34" s="36">
        <f t="shared" si="4"/>
        <v>29312.196166917769</v>
      </c>
      <c r="Y34" s="36">
        <f t="shared" si="4"/>
        <v>73120.949100186597</v>
      </c>
      <c r="Z34" s="36">
        <f t="shared" si="4"/>
        <v>80021.856942761136</v>
      </c>
      <c r="AA34" s="36">
        <f t="shared" si="4"/>
        <v>86600.69693421603</v>
      </c>
      <c r="AB34" s="36">
        <f t="shared" si="4"/>
        <v>92966.11816077496</v>
      </c>
      <c r="AC34" s="36">
        <f t="shared" si="4"/>
        <v>99207.149723087874</v>
      </c>
      <c r="AD34" s="36">
        <f t="shared" si="4"/>
        <v>103187.42748135055</v>
      </c>
      <c r="AE34" s="36">
        <f t="shared" si="4"/>
        <v>107045.26578873191</v>
      </c>
      <c r="AF34" s="36">
        <f t="shared" si="4"/>
        <v>110824.04770481463</v>
      </c>
      <c r="AG34" s="36">
        <f t="shared" si="4"/>
        <v>114559.00543849902</v>
      </c>
    </row>
    <row r="35" spans="5:33" ht="15" customHeight="1">
      <c r="E35" s="11" t="s">
        <v>767</v>
      </c>
      <c r="F35" s="7" t="str">
        <f>Inputs!$D$7</f>
        <v>HUF</v>
      </c>
      <c r="I35" s="280">
        <f>SUM(K35:AG35)</f>
        <v>-80716.02420972065</v>
      </c>
      <c r="K35" s="36">
        <f t="shared" ref="K35:AG35" si="5">-K34*$G$33</f>
        <v>0</v>
      </c>
      <c r="L35" s="36">
        <f t="shared" si="5"/>
        <v>0</v>
      </c>
      <c r="M35" s="36">
        <f t="shared" si="5"/>
        <v>0</v>
      </c>
      <c r="N35" s="36">
        <f t="shared" si="5"/>
        <v>0</v>
      </c>
      <c r="O35" s="36">
        <f t="shared" si="5"/>
        <v>0</v>
      </c>
      <c r="P35" s="36">
        <f t="shared" si="5"/>
        <v>0</v>
      </c>
      <c r="Q35" s="36">
        <f t="shared" si="5"/>
        <v>0</v>
      </c>
      <c r="R35" s="36">
        <f t="shared" si="5"/>
        <v>0</v>
      </c>
      <c r="S35" s="36">
        <f t="shared" si="5"/>
        <v>0</v>
      </c>
      <c r="T35" s="36">
        <f t="shared" si="5"/>
        <v>0</v>
      </c>
      <c r="U35" s="36">
        <f t="shared" si="5"/>
        <v>0</v>
      </c>
      <c r="V35" s="36">
        <f t="shared" si="5"/>
        <v>0</v>
      </c>
      <c r="W35" s="36">
        <f t="shared" si="5"/>
        <v>0</v>
      </c>
      <c r="X35" s="36">
        <f t="shared" si="5"/>
        <v>-2638.0976550225992</v>
      </c>
      <c r="Y35" s="36">
        <f t="shared" si="5"/>
        <v>-6580.8854190167931</v>
      </c>
      <c r="Z35" s="36">
        <f t="shared" si="5"/>
        <v>-7201.967124848502</v>
      </c>
      <c r="AA35" s="36">
        <f t="shared" si="5"/>
        <v>-7794.062724079442</v>
      </c>
      <c r="AB35" s="36">
        <f t="shared" si="5"/>
        <v>-8366.9506344697456</v>
      </c>
      <c r="AC35" s="36">
        <f t="shared" si="5"/>
        <v>-8928.6434750779081</v>
      </c>
      <c r="AD35" s="36">
        <f t="shared" si="5"/>
        <v>-9286.8684733215487</v>
      </c>
      <c r="AE35" s="36">
        <f t="shared" si="5"/>
        <v>-9634.0739209858712</v>
      </c>
      <c r="AF35" s="36">
        <f t="shared" si="5"/>
        <v>-9974.1642934333158</v>
      </c>
      <c r="AG35" s="36">
        <f t="shared" si="5"/>
        <v>-10310.310489464911</v>
      </c>
    </row>
    <row r="36" spans="5:33" ht="15" customHeight="1">
      <c r="E36" s="11" t="s">
        <v>768</v>
      </c>
      <c r="F36" s="7" t="str">
        <f>Inputs!$D$7</f>
        <v>HUF</v>
      </c>
      <c r="I36" s="280">
        <f>SUM(K36:AG36)</f>
        <v>816128.68923161982</v>
      </c>
      <c r="K36" s="36">
        <f t="shared" ref="K36:AG36" si="6">K21+K35</f>
        <v>0</v>
      </c>
      <c r="L36" s="36">
        <f t="shared" si="6"/>
        <v>0</v>
      </c>
      <c r="M36" s="36">
        <f t="shared" si="6"/>
        <v>0</v>
      </c>
      <c r="N36" s="36">
        <f t="shared" si="6"/>
        <v>-98787.055347085901</v>
      </c>
      <c r="O36" s="36">
        <f t="shared" si="6"/>
        <v>-66732.468228328813</v>
      </c>
      <c r="P36" s="36">
        <f t="shared" si="6"/>
        <v>-40404.546302871095</v>
      </c>
      <c r="Q36" s="36">
        <f t="shared" si="6"/>
        <v>-18631.062216340335</v>
      </c>
      <c r="R36" s="36">
        <f t="shared" si="6"/>
        <v>-473.02179337924099</v>
      </c>
      <c r="S36" s="36">
        <f t="shared" si="6"/>
        <v>14822.044052827938</v>
      </c>
      <c r="T36" s="36">
        <f t="shared" si="6"/>
        <v>27857.449165610531</v>
      </c>
      <c r="U36" s="36">
        <f t="shared" si="6"/>
        <v>39117.251587189632</v>
      </c>
      <c r="V36" s="36">
        <f t="shared" si="6"/>
        <v>48990.176883954467</v>
      </c>
      <c r="W36" s="36">
        <f t="shared" si="6"/>
        <v>57788.76079515343</v>
      </c>
      <c r="X36" s="36">
        <f t="shared" si="6"/>
        <v>63126.569915164546</v>
      </c>
      <c r="Y36" s="36">
        <f t="shared" si="6"/>
        <v>66540.063681169806</v>
      </c>
      <c r="Z36" s="36">
        <f t="shared" si="6"/>
        <v>72819.889817912641</v>
      </c>
      <c r="AA36" s="36">
        <f t="shared" si="6"/>
        <v>78806.634210136588</v>
      </c>
      <c r="AB36" s="36">
        <f t="shared" si="6"/>
        <v>84599.167526305217</v>
      </c>
      <c r="AC36" s="36">
        <f t="shared" si="6"/>
        <v>90278.506248009973</v>
      </c>
      <c r="AD36" s="36">
        <f t="shared" si="6"/>
        <v>93900.559008028999</v>
      </c>
      <c r="AE36" s="36">
        <f t="shared" si="6"/>
        <v>97411.191867746034</v>
      </c>
      <c r="AF36" s="36">
        <f t="shared" si="6"/>
        <v>100849.88341138131</v>
      </c>
      <c r="AG36" s="36">
        <f t="shared" si="6"/>
        <v>104248.69494903411</v>
      </c>
    </row>
  </sheetData>
  <conditionalFormatting sqref="K10:AG11">
    <cfRule type="cellIs" dxfId="1" priority="1" operator="equal">
      <formula>1</formula>
    </cfRule>
  </conditionalFormatting>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dimension ref="B2:AH220"/>
  <sheetViews>
    <sheetView showGridLines="0" zoomScale="70" zoomScaleNormal="70" workbookViewId="0">
      <pane xSplit="10" ySplit="13" topLeftCell="K23" activePane="bottomRight" state="frozen"/>
      <selection pane="bottomRight" activeCell="K23" sqref="K23:AG23"/>
      <selection pane="bottomLeft" activeCell="A14" sqref="A14"/>
      <selection pane="topRight" activeCell="K1" sqref="K1"/>
    </sheetView>
  </sheetViews>
  <sheetFormatPr defaultColWidth="8.7109375" defaultRowHeight="14.25"/>
  <cols>
    <col min="1" max="1" width="2.85546875" customWidth="1"/>
    <col min="2" max="2" width="3.42578125" customWidth="1"/>
    <col min="3" max="3" width="7.140625" customWidth="1"/>
    <col min="4" max="4" width="3.7109375" customWidth="1"/>
    <col min="5" max="5" width="44.7109375" customWidth="1"/>
    <col min="6" max="6" width="11" customWidth="1"/>
    <col min="7" max="7" width="13" customWidth="1"/>
    <col min="8" max="8" width="9" customWidth="1"/>
    <col min="9" max="9" width="18.5703125" customWidth="1"/>
    <col min="10" max="10" width="21" customWidth="1"/>
    <col min="11" max="33" width="11.42578125" customWidth="1"/>
    <col min="34" max="34" width="1.28515625" style="89" customWidth="1"/>
  </cols>
  <sheetData>
    <row r="2" spans="2:33" ht="15" customHeight="1">
      <c r="C2" s="318"/>
      <c r="E2" s="11"/>
      <c r="G2" s="11" t="s">
        <v>615</v>
      </c>
      <c r="H2" s="288">
        <f>SUM(H14:H58)</f>
        <v>0</v>
      </c>
    </row>
    <row r="3" spans="2:33" ht="15" customHeight="1">
      <c r="C3" s="88" t="s">
        <v>567</v>
      </c>
      <c r="D3" s="317" t="str">
        <f>'Control Panel'!D7&amp;":"&amp;'Control Panel'!D6</f>
        <v>Cascade geothermal:Base</v>
      </c>
      <c r="E3" s="11"/>
      <c r="J3" s="11" t="s">
        <v>568</v>
      </c>
      <c r="K3" s="91">
        <f>Dates!O2</f>
        <v>46388</v>
      </c>
      <c r="L3" s="92">
        <f>Dates!P2</f>
        <v>46753</v>
      </c>
      <c r="M3" s="92">
        <f>Dates!Q2</f>
        <v>47119</v>
      </c>
      <c r="N3" s="92">
        <f>Dates!R2</f>
        <v>47484</v>
      </c>
      <c r="O3" s="92">
        <f>Dates!S2</f>
        <v>47849</v>
      </c>
      <c r="P3" s="92">
        <f>Dates!T2</f>
        <v>48214</v>
      </c>
      <c r="Q3" s="92">
        <f>Dates!U2</f>
        <v>48580</v>
      </c>
      <c r="R3" s="92">
        <f>Dates!V2</f>
        <v>48945</v>
      </c>
      <c r="S3" s="92">
        <f>Dates!W2</f>
        <v>49310</v>
      </c>
      <c r="T3" s="92">
        <f>Dates!X2</f>
        <v>49675</v>
      </c>
      <c r="U3" s="92">
        <f>Dates!Y2</f>
        <v>50041</v>
      </c>
      <c r="V3" s="92">
        <f>Dates!Z2</f>
        <v>50406</v>
      </c>
      <c r="W3" s="92">
        <f>Dates!AA2</f>
        <v>50771</v>
      </c>
      <c r="X3" s="92">
        <f>Dates!AB2</f>
        <v>51136</v>
      </c>
      <c r="Y3" s="92">
        <f>Dates!AC2</f>
        <v>51502</v>
      </c>
      <c r="Z3" s="92">
        <f>Dates!AD2</f>
        <v>51867</v>
      </c>
      <c r="AA3" s="92">
        <f>Dates!AE2</f>
        <v>52232</v>
      </c>
      <c r="AB3" s="92">
        <f>Dates!AF2</f>
        <v>52597</v>
      </c>
      <c r="AC3" s="92">
        <f>Dates!AG2</f>
        <v>52963</v>
      </c>
      <c r="AD3" s="92">
        <f>Dates!AH2</f>
        <v>53328</v>
      </c>
      <c r="AE3" s="92">
        <f>Dates!AI2</f>
        <v>53693</v>
      </c>
      <c r="AF3" s="92">
        <f>Dates!AJ2</f>
        <v>54058</v>
      </c>
      <c r="AG3" s="92">
        <f>Dates!AK2</f>
        <v>54424</v>
      </c>
    </row>
    <row r="4" spans="2:33" ht="15" customHeight="1">
      <c r="E4" s="11"/>
      <c r="J4" s="11" t="s">
        <v>569</v>
      </c>
      <c r="K4" s="259">
        <f>Dates!O3</f>
        <v>46752</v>
      </c>
      <c r="L4" s="32">
        <f>Dates!P3</f>
        <v>47118</v>
      </c>
      <c r="M4" s="32">
        <f>Dates!Q3</f>
        <v>47483</v>
      </c>
      <c r="N4" s="32">
        <f>Dates!R3</f>
        <v>47848</v>
      </c>
      <c r="O4" s="32">
        <f>Dates!S3</f>
        <v>48213</v>
      </c>
      <c r="P4" s="32">
        <f>Dates!T3</f>
        <v>48579</v>
      </c>
      <c r="Q4" s="32">
        <f>Dates!U3</f>
        <v>48944</v>
      </c>
      <c r="R4" s="32">
        <f>Dates!V3</f>
        <v>49309</v>
      </c>
      <c r="S4" s="32">
        <f>Dates!W3</f>
        <v>49674</v>
      </c>
      <c r="T4" s="32">
        <f>Dates!X3</f>
        <v>50040</v>
      </c>
      <c r="U4" s="32">
        <f>Dates!Y3</f>
        <v>50405</v>
      </c>
      <c r="V4" s="32">
        <f>Dates!Z3</f>
        <v>50770</v>
      </c>
      <c r="W4" s="32">
        <f>Dates!AA3</f>
        <v>51135</v>
      </c>
      <c r="X4" s="32">
        <f>Dates!AB3</f>
        <v>51501</v>
      </c>
      <c r="Y4" s="32">
        <f>Dates!AC3</f>
        <v>51866</v>
      </c>
      <c r="Z4" s="32">
        <f>Dates!AD3</f>
        <v>52231</v>
      </c>
      <c r="AA4" s="32">
        <f>Dates!AE3</f>
        <v>52596</v>
      </c>
      <c r="AB4" s="32">
        <f>Dates!AF3</f>
        <v>52962</v>
      </c>
      <c r="AC4" s="32">
        <f>Dates!AG3</f>
        <v>53327</v>
      </c>
      <c r="AD4" s="32">
        <f>Dates!AH3</f>
        <v>53692</v>
      </c>
      <c r="AE4" s="32">
        <f>Dates!AI3</f>
        <v>54057</v>
      </c>
      <c r="AF4" s="32">
        <f>Dates!AJ3</f>
        <v>54423</v>
      </c>
      <c r="AG4" s="32">
        <f>Dates!AK3</f>
        <v>54788</v>
      </c>
    </row>
    <row r="5" spans="2:33" ht="15" customHeight="1">
      <c r="E5" s="11"/>
      <c r="J5" s="11" t="s">
        <v>101</v>
      </c>
      <c r="K5" s="95">
        <f>Dates!O4</f>
        <v>2027</v>
      </c>
      <c r="L5" s="96">
        <f>Dates!P4</f>
        <v>2028</v>
      </c>
      <c r="M5" s="96">
        <f>Dates!Q4</f>
        <v>2029</v>
      </c>
      <c r="N5" s="96">
        <f>Dates!R4</f>
        <v>2030</v>
      </c>
      <c r="O5" s="96">
        <f>Dates!S4</f>
        <v>2031</v>
      </c>
      <c r="P5" s="96">
        <f>Dates!T4</f>
        <v>2032</v>
      </c>
      <c r="Q5" s="96">
        <f>Dates!U4</f>
        <v>2033</v>
      </c>
      <c r="R5" s="96">
        <f>Dates!V4</f>
        <v>2034</v>
      </c>
      <c r="S5" s="96">
        <f>Dates!W4</f>
        <v>2035</v>
      </c>
      <c r="T5" s="96">
        <f>Dates!X4</f>
        <v>2036</v>
      </c>
      <c r="U5" s="96">
        <f>Dates!Y4</f>
        <v>2037</v>
      </c>
      <c r="V5" s="96">
        <f>Dates!Z4</f>
        <v>2038</v>
      </c>
      <c r="W5" s="96">
        <f>Dates!AA4</f>
        <v>2039</v>
      </c>
      <c r="X5" s="96">
        <f>Dates!AB4</f>
        <v>2040</v>
      </c>
      <c r="Y5" s="96">
        <f>Dates!AC4</f>
        <v>2041</v>
      </c>
      <c r="Z5" s="96">
        <f>Dates!AD4</f>
        <v>2042</v>
      </c>
      <c r="AA5" s="96">
        <f>Dates!AE4</f>
        <v>2043</v>
      </c>
      <c r="AB5" s="96">
        <f>Dates!AF4</f>
        <v>2044</v>
      </c>
      <c r="AC5" s="96">
        <f>Dates!AG4</f>
        <v>2045</v>
      </c>
      <c r="AD5" s="96">
        <f>Dates!AH4</f>
        <v>2046</v>
      </c>
      <c r="AE5" s="96">
        <f>Dates!AI4</f>
        <v>2047</v>
      </c>
      <c r="AF5" s="96">
        <f>Dates!AJ4</f>
        <v>2048</v>
      </c>
      <c r="AG5" s="96">
        <f>Dates!AK4</f>
        <v>2049</v>
      </c>
    </row>
    <row r="6" spans="2:33" ht="15" customHeight="1">
      <c r="E6" s="11"/>
      <c r="J6" s="11" t="s">
        <v>570</v>
      </c>
      <c r="K6" s="97">
        <f>Dates!O8</f>
        <v>0</v>
      </c>
      <c r="L6" s="98">
        <f>Dates!P8</f>
        <v>1</v>
      </c>
      <c r="M6" s="98">
        <f>Dates!Q8</f>
        <v>2</v>
      </c>
      <c r="N6" s="98">
        <f>Dates!R8</f>
        <v>3</v>
      </c>
      <c r="O6" s="98">
        <f>Dates!S8</f>
        <v>4</v>
      </c>
      <c r="P6" s="98">
        <f>Dates!T8</f>
        <v>5</v>
      </c>
      <c r="Q6" s="98">
        <f>Dates!U8</f>
        <v>6</v>
      </c>
      <c r="R6" s="98">
        <f>Dates!V8</f>
        <v>7</v>
      </c>
      <c r="S6" s="98">
        <f>Dates!W8</f>
        <v>8</v>
      </c>
      <c r="T6" s="98">
        <f>Dates!X8</f>
        <v>9</v>
      </c>
      <c r="U6" s="98">
        <f>Dates!Y8</f>
        <v>10</v>
      </c>
      <c r="V6" s="98">
        <f>Dates!Z8</f>
        <v>11</v>
      </c>
      <c r="W6" s="98">
        <f>Dates!AA8</f>
        <v>12</v>
      </c>
      <c r="X6" s="98">
        <f>Dates!AB8</f>
        <v>13</v>
      </c>
      <c r="Y6" s="98">
        <f>Dates!AC8</f>
        <v>14</v>
      </c>
      <c r="Z6" s="98">
        <f>Dates!AD8</f>
        <v>15</v>
      </c>
      <c r="AA6" s="98">
        <f>Dates!AE8</f>
        <v>16</v>
      </c>
      <c r="AB6" s="98">
        <f>Dates!AF8</f>
        <v>17</v>
      </c>
      <c r="AC6" s="98">
        <f>Dates!AG8</f>
        <v>18</v>
      </c>
      <c r="AD6" s="98">
        <f>Dates!AH8</f>
        <v>19</v>
      </c>
      <c r="AE6" s="98">
        <f>Dates!AI8</f>
        <v>20</v>
      </c>
      <c r="AF6" s="98">
        <f>Dates!AJ8</f>
        <v>21</v>
      </c>
      <c r="AG6" s="98">
        <f>Dates!AK8</f>
        <v>22</v>
      </c>
    </row>
    <row r="8" spans="2:33" ht="15" customHeight="1">
      <c r="B8" s="40"/>
      <c r="C8" s="14" t="s">
        <v>571</v>
      </c>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row>
    <row r="10" spans="2:33" ht="15" customHeight="1">
      <c r="E10" s="25" t="s">
        <v>557</v>
      </c>
      <c r="K10" s="38">
        <f>Dates!O17</f>
        <v>0</v>
      </c>
      <c r="L10" s="38">
        <f>Dates!P17</f>
        <v>0</v>
      </c>
      <c r="M10" s="38">
        <f>Dates!Q17</f>
        <v>0</v>
      </c>
      <c r="N10" s="38">
        <f>Dates!R17</f>
        <v>1</v>
      </c>
      <c r="O10" s="38">
        <f>Dates!S17</f>
        <v>1</v>
      </c>
      <c r="P10" s="38">
        <f>Dates!T17</f>
        <v>1</v>
      </c>
      <c r="Q10" s="38">
        <f>Dates!U17</f>
        <v>1</v>
      </c>
      <c r="R10" s="38">
        <f>Dates!V17</f>
        <v>1</v>
      </c>
      <c r="S10" s="38">
        <f>Dates!W17</f>
        <v>1</v>
      </c>
      <c r="T10" s="38">
        <f>Dates!X17</f>
        <v>1</v>
      </c>
      <c r="U10" s="38">
        <f>Dates!Y17</f>
        <v>1</v>
      </c>
      <c r="V10" s="38">
        <f>Dates!Z17</f>
        <v>1</v>
      </c>
      <c r="W10" s="38">
        <f>Dates!AA17</f>
        <v>1</v>
      </c>
      <c r="X10" s="38">
        <f>Dates!AB17</f>
        <v>1</v>
      </c>
      <c r="Y10" s="38">
        <f>Dates!AC17</f>
        <v>1</v>
      </c>
      <c r="Z10" s="38">
        <f>Dates!AD17</f>
        <v>1</v>
      </c>
      <c r="AA10" s="38">
        <f>Dates!AE17</f>
        <v>1</v>
      </c>
      <c r="AB10" s="38">
        <f>Dates!AF17</f>
        <v>1</v>
      </c>
      <c r="AC10" s="38">
        <f>Dates!AG17</f>
        <v>1</v>
      </c>
      <c r="AD10" s="38">
        <f>Dates!AH17</f>
        <v>1</v>
      </c>
      <c r="AE10" s="38">
        <f>Dates!AI17</f>
        <v>1</v>
      </c>
      <c r="AF10" s="38">
        <f>Dates!AJ17</f>
        <v>1</v>
      </c>
      <c r="AG10" s="100">
        <f>Dates!AK17</f>
        <v>1</v>
      </c>
    </row>
    <row r="13" spans="2:33" ht="15" customHeight="1">
      <c r="E13" s="25" t="s">
        <v>769</v>
      </c>
      <c r="G13" s="322">
        <f>H46</f>
        <v>0</v>
      </c>
    </row>
    <row r="15" spans="2:33" ht="15" customHeight="1">
      <c r="B15" s="40"/>
      <c r="C15" s="14" t="s">
        <v>770</v>
      </c>
      <c r="D15" s="40"/>
      <c r="E15" s="40"/>
      <c r="F15" s="40"/>
      <c r="G15" s="40"/>
      <c r="H15" s="40"/>
      <c r="I15" s="40"/>
      <c r="J15" s="40"/>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row>
    <row r="16" spans="2:33" ht="15" customHeight="1">
      <c r="E16" s="25" t="s">
        <v>771</v>
      </c>
      <c r="F16" s="7" t="str">
        <f>Inputs!$D$7</f>
        <v>HUF</v>
      </c>
      <c r="K16" s="36">
        <f>Operations!K66</f>
        <v>0</v>
      </c>
      <c r="L16" s="36">
        <f>Operations!L66</f>
        <v>0</v>
      </c>
      <c r="M16" s="36">
        <f>Operations!M66</f>
        <v>0</v>
      </c>
      <c r="N16" s="36">
        <f>Operations!N66</f>
        <v>62359.942261887321</v>
      </c>
      <c r="O16" s="36">
        <f>Operations!O66</f>
        <v>64034.871116524453</v>
      </c>
      <c r="P16" s="36">
        <f>Operations!P66</f>
        <v>65755.249324716948</v>
      </c>
      <c r="Q16" s="36">
        <f>Operations!Q66</f>
        <v>67522.319778230274</v>
      </c>
      <c r="R16" s="36">
        <f>Operations!R66</f>
        <v>69337.359555962379</v>
      </c>
      <c r="S16" s="36">
        <f>Operations!S66</f>
        <v>71201.680868346884</v>
      </c>
      <c r="T16" s="36">
        <f>Operations!T66</f>
        <v>73116.632027927233</v>
      </c>
      <c r="U16" s="36">
        <f>Operations!U66</f>
        <v>75083.598446828633</v>
      </c>
      <c r="V16" s="36">
        <f>Operations!V66</f>
        <v>77104.003661874958</v>
      </c>
      <c r="W16" s="36">
        <f>Operations!W66</f>
        <v>79179.310388118523</v>
      </c>
      <c r="X16" s="36">
        <f>Operations!X66</f>
        <v>81311.02160157192</v>
      </c>
      <c r="Y16" s="36">
        <f>Operations!Y66</f>
        <v>83500.681651953433</v>
      </c>
      <c r="Z16" s="36">
        <f>Operations!Z66</f>
        <v>85749.877406279251</v>
      </c>
      <c r="AA16" s="36">
        <f>Operations!AA66</f>
        <v>88060.239424160332</v>
      </c>
      <c r="AB16" s="36">
        <f>Operations!AB66</f>
        <v>90433.443165684002</v>
      </c>
      <c r="AC16" s="36">
        <f>Operations!AC66</f>
        <v>92871.210232786136</v>
      </c>
      <c r="AD16" s="36">
        <f>Operations!AD66</f>
        <v>95375.309645044137</v>
      </c>
      <c r="AE16" s="36">
        <f>Operations!AE66</f>
        <v>97947.559150847694</v>
      </c>
      <c r="AF16" s="36">
        <f>Operations!AF66</f>
        <v>100589.82657492983</v>
      </c>
      <c r="AG16" s="36">
        <f>Operations!AG66</f>
        <v>103304.03120326898</v>
      </c>
    </row>
    <row r="17" spans="2:33" ht="15" customHeight="1">
      <c r="E17" s="25" t="s">
        <v>772</v>
      </c>
      <c r="F17" s="7" t="str">
        <f>Inputs!$D$7</f>
        <v>HUF</v>
      </c>
      <c r="K17" s="36">
        <f>Operations!K89</f>
        <v>0</v>
      </c>
      <c r="L17" s="36">
        <f>Operations!L89</f>
        <v>0</v>
      </c>
      <c r="M17" s="36">
        <f>Operations!M89</f>
        <v>0</v>
      </c>
      <c r="N17" s="36">
        <f>Operations!N89</f>
        <v>65841.451208973405</v>
      </c>
      <c r="O17" s="36">
        <f>Operations!O89</f>
        <v>67681.061355752114</v>
      </c>
      <c r="P17" s="36">
        <f>Operations!P89</f>
        <v>69572.070210031816</v>
      </c>
      <c r="Q17" s="36">
        <f>Operations!Q89</f>
        <v>71515.913851700112</v>
      </c>
      <c r="R17" s="36">
        <f>Operations!R89</f>
        <v>73514.068484716612</v>
      </c>
      <c r="S17" s="36">
        <f>Operations!S89</f>
        <v>75568.051558179592</v>
      </c>
      <c r="T17" s="36">
        <f>Operations!T89</f>
        <v>77679.422918715121</v>
      </c>
      <c r="U17" s="36">
        <f>Operations!U89</f>
        <v>79849.785995064027</v>
      </c>
      <c r="V17" s="36">
        <f>Operations!V89</f>
        <v>82080.789015766131</v>
      </c>
      <c r="W17" s="36">
        <f>Operations!W89</f>
        <v>84374.1262608666</v>
      </c>
      <c r="X17" s="36">
        <f>Operations!X89</f>
        <v>86731.539348595223</v>
      </c>
      <c r="Y17" s="36">
        <f>Operations!Y89</f>
        <v>89154.818557994979</v>
      </c>
      <c r="Z17" s="36">
        <f>Operations!Z89</f>
        <v>91645.804188505368</v>
      </c>
      <c r="AA17" s="36">
        <f>Operations!AA89</f>
        <v>94206.387957532192</v>
      </c>
      <c r="AB17" s="36">
        <f>Operations!AB89</f>
        <v>96838.514437065649</v>
      </c>
      <c r="AC17" s="36">
        <f>Operations!AC89</f>
        <v>99544.182530437261</v>
      </c>
      <c r="AD17" s="36">
        <f>Operations!AD89</f>
        <v>102325.44699033769</v>
      </c>
      <c r="AE17" s="36">
        <f>Operations!AE89</f>
        <v>105184.4199792477</v>
      </c>
      <c r="AF17" s="36">
        <f>Operations!AF89</f>
        <v>108123.27267346786</v>
      </c>
      <c r="AG17" s="36">
        <f>Operations!AG89</f>
        <v>111144.23691196457</v>
      </c>
    </row>
    <row r="18" spans="2:33" ht="15" customHeight="1">
      <c r="E18" s="25" t="s">
        <v>773</v>
      </c>
      <c r="F18" s="7" t="str">
        <f>Inputs!$D$7</f>
        <v>HUF</v>
      </c>
      <c r="K18" s="36">
        <f>-Operations!K85</f>
        <v>0</v>
      </c>
      <c r="L18" s="36">
        <f>-Operations!L85</f>
        <v>0</v>
      </c>
      <c r="M18" s="36">
        <f>-Operations!M85</f>
        <v>0</v>
      </c>
      <c r="N18" s="36">
        <f>-Operations!N85</f>
        <v>-59604.451745813501</v>
      </c>
      <c r="O18" s="36">
        <f>-Operations!O85</f>
        <v>-61170.836728197457</v>
      </c>
      <c r="P18" s="36">
        <f>-Operations!P85</f>
        <v>-62779.18808174388</v>
      </c>
      <c r="Q18" s="36">
        <f>-Operations!Q85</f>
        <v>-64430.65118457716</v>
      </c>
      <c r="R18" s="36">
        <f>-Operations!R85</f>
        <v>-66126.403215924889</v>
      </c>
      <c r="S18" s="36">
        <f>-Operations!S85</f>
        <v>-67867.654052720522</v>
      </c>
      <c r="T18" s="36">
        <f>-Operations!T85</f>
        <v>-69655.64719182362</v>
      </c>
      <c r="U18" s="36">
        <f>-Operations!U85</f>
        <v>-71491.660698598993</v>
      </c>
      <c r="V18" s="36">
        <f>-Operations!V85</f>
        <v>-73377.008182615493</v>
      </c>
      <c r="W18" s="36">
        <f>-Operations!W85</f>
        <v>-75313.039801249499</v>
      </c>
      <c r="X18" s="36">
        <f>-Operations!X85</f>
        <v>-77301.143291999237</v>
      </c>
      <c r="Y18" s="36">
        <f>-Operations!Y85</f>
        <v>-79342.745034341177</v>
      </c>
      <c r="Z18" s="36">
        <f>-Operations!Z85</f>
        <v>-81439.311141982631</v>
      </c>
      <c r="AA18" s="36">
        <f>-Operations!AA85</f>
        <v>-83592.348586391061</v>
      </c>
      <c r="AB18" s="36">
        <f>-Operations!AB85</f>
        <v>-85803.406352504273</v>
      </c>
      <c r="AC18" s="36">
        <f>-Operations!AC85</f>
        <v>-88074.076627554838</v>
      </c>
      <c r="AD18" s="36">
        <f>-Operations!AD85</f>
        <v>-90405.996023966756</v>
      </c>
      <c r="AE18" s="36">
        <f>-Operations!AE85</f>
        <v>-92800.846837311852</v>
      </c>
      <c r="AF18" s="36">
        <f>-Operations!AF85</f>
        <v>-95260.358340341758</v>
      </c>
      <c r="AG18" s="36">
        <f>-Operations!AG85</f>
        <v>-97786.308114141502</v>
      </c>
    </row>
    <row r="19" spans="2:33" ht="15" customHeight="1">
      <c r="E19" s="11" t="s">
        <v>83</v>
      </c>
      <c r="F19" s="7" t="str">
        <f>Inputs!$D$7</f>
        <v>HUF</v>
      </c>
      <c r="K19" s="115">
        <f t="shared" ref="K19:AG19" si="0">K16+K17+K18</f>
        <v>0</v>
      </c>
      <c r="L19" s="115">
        <f t="shared" si="0"/>
        <v>0</v>
      </c>
      <c r="M19" s="115">
        <f t="shared" si="0"/>
        <v>0</v>
      </c>
      <c r="N19" s="115">
        <f t="shared" si="0"/>
        <v>68596.941725047218</v>
      </c>
      <c r="O19" s="115">
        <f t="shared" si="0"/>
        <v>70545.095744079095</v>
      </c>
      <c r="P19" s="115">
        <f t="shared" si="0"/>
        <v>72548.131453004884</v>
      </c>
      <c r="Q19" s="115">
        <f t="shared" si="0"/>
        <v>74607.582445353226</v>
      </c>
      <c r="R19" s="115">
        <f t="shared" si="0"/>
        <v>76725.024824754102</v>
      </c>
      <c r="S19" s="115">
        <f t="shared" si="0"/>
        <v>78902.078373805969</v>
      </c>
      <c r="T19" s="115">
        <f t="shared" si="0"/>
        <v>81140.407754818749</v>
      </c>
      <c r="U19" s="115">
        <f t="shared" si="0"/>
        <v>83441.723743293682</v>
      </c>
      <c r="V19" s="115">
        <f t="shared" si="0"/>
        <v>85807.784495025597</v>
      </c>
      <c r="W19" s="115">
        <f t="shared" si="0"/>
        <v>88240.396847735639</v>
      </c>
      <c r="X19" s="115">
        <f t="shared" si="0"/>
        <v>90741.417658167891</v>
      </c>
      <c r="Y19" s="115">
        <f t="shared" si="0"/>
        <v>93312.755175607221</v>
      </c>
      <c r="Z19" s="115">
        <f t="shared" si="0"/>
        <v>95956.370452801973</v>
      </c>
      <c r="AA19" s="115">
        <f t="shared" si="0"/>
        <v>98674.278795301463</v>
      </c>
      <c r="AB19" s="115">
        <f t="shared" si="0"/>
        <v>101468.55125024536</v>
      </c>
      <c r="AC19" s="115">
        <f t="shared" si="0"/>
        <v>104341.31613566855</v>
      </c>
      <c r="AD19" s="115">
        <f t="shared" si="0"/>
        <v>107294.76061141508</v>
      </c>
      <c r="AE19" s="115">
        <f t="shared" si="0"/>
        <v>110331.13229278354</v>
      </c>
      <c r="AF19" s="115">
        <f t="shared" si="0"/>
        <v>113452.74090805593</v>
      </c>
      <c r="AG19" s="115">
        <f t="shared" si="0"/>
        <v>116661.96000109207</v>
      </c>
    </row>
    <row r="20" spans="2:33" ht="15" customHeight="1">
      <c r="E20" s="25" t="s">
        <v>86</v>
      </c>
      <c r="F20" s="7" t="str">
        <f>Inputs!$D$7</f>
        <v>HUF</v>
      </c>
      <c r="K20" s="36">
        <f>Depreciation!K63</f>
        <v>0</v>
      </c>
      <c r="L20" s="36">
        <f>Depreciation!L63</f>
        <v>0</v>
      </c>
      <c r="M20" s="36">
        <f>Depreciation!M63</f>
        <v>0</v>
      </c>
      <c r="N20" s="36">
        <f>Depreciation!N63</f>
        <v>-34307.071193781507</v>
      </c>
      <c r="O20" s="36">
        <f>Depreciation!O63</f>
        <v>-34307.071193781507</v>
      </c>
      <c r="P20" s="36">
        <f>Depreciation!P63</f>
        <v>-34307.071193781507</v>
      </c>
      <c r="Q20" s="36">
        <f>Depreciation!Q63</f>
        <v>-34307.071193781507</v>
      </c>
      <c r="R20" s="36">
        <f>Depreciation!R63</f>
        <v>-34307.071193781507</v>
      </c>
      <c r="S20" s="36">
        <f>Depreciation!S63</f>
        <v>-34307.071193781507</v>
      </c>
      <c r="T20" s="36">
        <f>Depreciation!T63</f>
        <v>-34307.071193781507</v>
      </c>
      <c r="U20" s="36">
        <f>Depreciation!U63</f>
        <v>-34307.071193781507</v>
      </c>
      <c r="V20" s="36">
        <f>Depreciation!V63</f>
        <v>-34307.071193781507</v>
      </c>
      <c r="W20" s="36">
        <f>Depreciation!W63</f>
        <v>-34307.071193781507</v>
      </c>
      <c r="X20" s="36">
        <f>Depreciation!X63</f>
        <v>-34307.071193781507</v>
      </c>
      <c r="Y20" s="36">
        <f>Depreciation!Y63</f>
        <v>-34307.071193781507</v>
      </c>
      <c r="Z20" s="36">
        <f>Depreciation!Z63</f>
        <v>-34307.071193781507</v>
      </c>
      <c r="AA20" s="36">
        <f>Depreciation!AA63</f>
        <v>-34307.071193781507</v>
      </c>
      <c r="AB20" s="36">
        <f>Depreciation!AB63</f>
        <v>-34307.071193781507</v>
      </c>
      <c r="AC20" s="36">
        <f>Depreciation!AC63</f>
        <v>-16999.711193781564</v>
      </c>
      <c r="AD20" s="36">
        <f>Depreciation!AD63</f>
        <v>-16999.711193781506</v>
      </c>
      <c r="AE20" s="36">
        <f>Depreciation!AE63</f>
        <v>-16999.711193781506</v>
      </c>
      <c r="AF20" s="36">
        <f>Depreciation!AF63</f>
        <v>-16999.711193781506</v>
      </c>
      <c r="AG20" s="36">
        <f>Depreciation!AG63</f>
        <v>-16999.711193781484</v>
      </c>
    </row>
    <row r="21" spans="2:33" ht="15" customHeight="1">
      <c r="E21" s="25" t="s">
        <v>774</v>
      </c>
      <c r="F21" s="7" t="str">
        <f>Inputs!$D$7</f>
        <v>HUF</v>
      </c>
      <c r="G21" s="287">
        <f>Financing!$G$18</f>
        <v>0.3</v>
      </c>
      <c r="K21" s="36">
        <f>-Depreciation!K63*$G$21</f>
        <v>0</v>
      </c>
      <c r="L21" s="36">
        <f>-Depreciation!L63*$G$21</f>
        <v>0</v>
      </c>
      <c r="M21" s="36">
        <f>-Depreciation!M63*$G$21</f>
        <v>0</v>
      </c>
      <c r="N21" s="36">
        <f>-Depreciation!N63*$G$21</f>
        <v>10292.121358134451</v>
      </c>
      <c r="O21" s="36">
        <f>-Depreciation!O63*$G$21</f>
        <v>10292.121358134451</v>
      </c>
      <c r="P21" s="36">
        <f>-Depreciation!P63*$G$21</f>
        <v>10292.121358134451</v>
      </c>
      <c r="Q21" s="36">
        <f>-Depreciation!Q63*$G$21</f>
        <v>10292.121358134451</v>
      </c>
      <c r="R21" s="36">
        <f>-Depreciation!R63*$G$21</f>
        <v>10292.121358134451</v>
      </c>
      <c r="S21" s="36">
        <f>-Depreciation!S63*$G$21</f>
        <v>10292.121358134451</v>
      </c>
      <c r="T21" s="36">
        <f>-Depreciation!T63*$G$21</f>
        <v>10292.121358134451</v>
      </c>
      <c r="U21" s="36">
        <f>-Depreciation!U63*$G$21</f>
        <v>10292.121358134451</v>
      </c>
      <c r="V21" s="36">
        <f>-Depreciation!V63*$G$21</f>
        <v>10292.121358134451</v>
      </c>
      <c r="W21" s="36">
        <f>-Depreciation!W63*$G$21</f>
        <v>10292.121358134451</v>
      </c>
      <c r="X21" s="36">
        <f>-Depreciation!X63*$G$21</f>
        <v>10292.121358134451</v>
      </c>
      <c r="Y21" s="36">
        <f>-Depreciation!Y63*$G$21</f>
        <v>10292.121358134451</v>
      </c>
      <c r="Z21" s="36">
        <f>-Depreciation!Z63*$G$21</f>
        <v>10292.121358134451</v>
      </c>
      <c r="AA21" s="36">
        <f>-Depreciation!AA63*$G$21</f>
        <v>10292.121358134451</v>
      </c>
      <c r="AB21" s="36">
        <f>-Depreciation!AB63*$G$21</f>
        <v>10292.121358134451</v>
      </c>
      <c r="AC21" s="36">
        <f>-Depreciation!AC63*$G$21</f>
        <v>5099.9133581344695</v>
      </c>
      <c r="AD21" s="36">
        <f>-Depreciation!AD63*$G$21</f>
        <v>5099.9133581344513</v>
      </c>
      <c r="AE21" s="36">
        <f>-Depreciation!AE63*$G$21</f>
        <v>5099.9133581344513</v>
      </c>
      <c r="AF21" s="36">
        <f>-Depreciation!AF63*$G$21</f>
        <v>5099.9133581344513</v>
      </c>
      <c r="AG21" s="36">
        <f>-Depreciation!AG63*$G$21</f>
        <v>5099.9133581344449</v>
      </c>
    </row>
    <row r="22" spans="2:33" ht="15" customHeight="1">
      <c r="E22" s="25" t="s">
        <v>775</v>
      </c>
      <c r="F22" s="7" t="str">
        <f>Inputs!$D$7</f>
        <v>HUF</v>
      </c>
      <c r="K22" s="36">
        <f>-Financing!K49</f>
        <v>0</v>
      </c>
      <c r="L22" s="36">
        <f>-Financing!L49</f>
        <v>0</v>
      </c>
      <c r="M22" s="36">
        <f>-Financing!M49</f>
        <v>0</v>
      </c>
      <c r="N22" s="36">
        <f>-Financing!N49</f>
        <v>-21462.211126425595</v>
      </c>
      <c r="O22" s="36">
        <f>-Financing!O49</f>
        <v>-20540.135215841889</v>
      </c>
      <c r="P22" s="36">
        <f>-Financing!P49</f>
        <v>-19562.734750623156</v>
      </c>
      <c r="Q22" s="36">
        <f>-Financing!Q49</f>
        <v>-18526.6902574913</v>
      </c>
      <c r="R22" s="36">
        <f>-Financing!R49</f>
        <v>-17428.483094771535</v>
      </c>
      <c r="S22" s="36">
        <f>-Financing!S49</f>
        <v>-16264.383502288581</v>
      </c>
      <c r="T22" s="36">
        <f>-Financing!T49</f>
        <v>-15030.437934256652</v>
      </c>
      <c r="U22" s="36">
        <f>-Financing!U49</f>
        <v>-13722.455632142806</v>
      </c>
      <c r="V22" s="36">
        <f>-Financing!V49</f>
        <v>-12335.99439190213</v>
      </c>
      <c r="W22" s="36">
        <f>-Financing!W49</f>
        <v>-10866.345477247014</v>
      </c>
      <c r="X22" s="36">
        <f>-Financing!X49</f>
        <v>-9308.517627712592</v>
      </c>
      <c r="Y22" s="36">
        <f>-Financing!Y49</f>
        <v>-7657.2201072061034</v>
      </c>
      <c r="Z22" s="36">
        <f>-Financing!Z49</f>
        <v>-5906.8447354692244</v>
      </c>
      <c r="AA22" s="36">
        <f>-Financing!AA49</f>
        <v>-4051.4468414281332</v>
      </c>
      <c r="AB22" s="36">
        <f>-Financing!AB49</f>
        <v>-2084.7250737445765</v>
      </c>
      <c r="AC22" s="36">
        <f>-Financing!AC49</f>
        <v>-6.9849193096160886E-12</v>
      </c>
      <c r="AD22" s="36">
        <f>-Financing!AD49</f>
        <v>0</v>
      </c>
      <c r="AE22" s="36">
        <f>-Financing!AE49</f>
        <v>0</v>
      </c>
      <c r="AF22" s="36">
        <f>-Financing!AF49</f>
        <v>0</v>
      </c>
      <c r="AG22" s="36">
        <f>-Financing!AG49</f>
        <v>0</v>
      </c>
    </row>
    <row r="23" spans="2:33" ht="15" customHeight="1">
      <c r="E23" s="11" t="s">
        <v>757</v>
      </c>
      <c r="F23" s="7" t="str">
        <f>Inputs!$D$7</f>
        <v>HUF</v>
      </c>
      <c r="K23" s="115">
        <f t="shared" ref="K23:AG23" si="1">K19+K20+K21+K22</f>
        <v>0</v>
      </c>
      <c r="L23" s="115">
        <f t="shared" si="1"/>
        <v>0</v>
      </c>
      <c r="M23" s="115">
        <f t="shared" si="1"/>
        <v>0</v>
      </c>
      <c r="N23" s="115">
        <f t="shared" si="1"/>
        <v>23119.780762974566</v>
      </c>
      <c r="O23" s="115">
        <f t="shared" si="1"/>
        <v>25990.010692590149</v>
      </c>
      <c r="P23" s="115">
        <f t="shared" si="1"/>
        <v>28970.44686673467</v>
      </c>
      <c r="Q23" s="115">
        <f t="shared" si="1"/>
        <v>32065.942352214868</v>
      </c>
      <c r="R23" s="115">
        <f t="shared" si="1"/>
        <v>35281.591894335506</v>
      </c>
      <c r="S23" s="115">
        <f t="shared" si="1"/>
        <v>38622.745035870328</v>
      </c>
      <c r="T23" s="115">
        <f t="shared" si="1"/>
        <v>42095.019984915038</v>
      </c>
      <c r="U23" s="115">
        <f t="shared" si="1"/>
        <v>45704.318275503814</v>
      </c>
      <c r="V23" s="115">
        <f t="shared" si="1"/>
        <v>49456.840267476407</v>
      </c>
      <c r="W23" s="115">
        <f t="shared" si="1"/>
        <v>53359.101534841568</v>
      </c>
      <c r="X23" s="115">
        <f t="shared" si="1"/>
        <v>57417.95019480824</v>
      </c>
      <c r="Y23" s="115">
        <f t="shared" si="1"/>
        <v>61640.585232754063</v>
      </c>
      <c r="Z23" s="115">
        <f t="shared" si="1"/>
        <v>66034.575881685698</v>
      </c>
      <c r="AA23" s="115">
        <f t="shared" si="1"/>
        <v>70607.882118226276</v>
      </c>
      <c r="AB23" s="115">
        <f t="shared" si="1"/>
        <v>75368.876340853734</v>
      </c>
      <c r="AC23" s="115">
        <f t="shared" si="1"/>
        <v>92441.518300021446</v>
      </c>
      <c r="AD23" s="115">
        <f t="shared" si="1"/>
        <v>95394.962775768028</v>
      </c>
      <c r="AE23" s="115">
        <f t="shared" si="1"/>
        <v>98431.334457136487</v>
      </c>
      <c r="AF23" s="115">
        <f t="shared" si="1"/>
        <v>101552.94307240887</v>
      </c>
      <c r="AG23" s="115">
        <f t="shared" si="1"/>
        <v>104762.16216544504</v>
      </c>
    </row>
    <row r="24" spans="2:33" ht="15" customHeight="1">
      <c r="E24" s="25" t="s">
        <v>776</v>
      </c>
      <c r="F24" s="7" t="str">
        <f>Inputs!$D$7</f>
        <v>HUF</v>
      </c>
      <c r="K24" s="36">
        <f>Tax!K35-K99</f>
        <v>0</v>
      </c>
      <c r="L24" s="36">
        <f>Tax!L35-L99</f>
        <v>0</v>
      </c>
      <c r="M24" s="36">
        <f>Tax!M35-M99</f>
        <v>0</v>
      </c>
      <c r="N24" s="36">
        <f>Tax!N35-N99</f>
        <v>-10045.324327673341</v>
      </c>
      <c r="O24" s="36">
        <f>Tax!O35-O99</f>
        <v>-7418.7321806506006</v>
      </c>
      <c r="P24" s="36">
        <f>Tax!P35-P99</f>
        <v>-5317.4584630324316</v>
      </c>
      <c r="Q24" s="36">
        <f>Tax!Q35-Q99</f>
        <v>-3636.4394889378709</v>
      </c>
      <c r="R24" s="36">
        <f>Tax!R35-R99</f>
        <v>-2291.6243096622238</v>
      </c>
      <c r="S24" s="36">
        <f>Tax!S35-S99</f>
        <v>-1215.7721662417171</v>
      </c>
      <c r="T24" s="36">
        <f>Tax!T35-T99</f>
        <v>-355.09045150530437</v>
      </c>
      <c r="U24" s="36">
        <f>Tax!U35-U99</f>
        <v>333.45492028382068</v>
      </c>
      <c r="V24" s="36">
        <f>Tax!V35-V99</f>
        <v>884.29121771512655</v>
      </c>
      <c r="W24" s="36">
        <f>Tax!W35-W99</f>
        <v>1324.9602556601676</v>
      </c>
      <c r="X24" s="36">
        <f>Tax!X35-X99</f>
        <v>-960.60216900639944</v>
      </c>
      <c r="Y24" s="36">
        <f>Tax!Y35-Y99</f>
        <v>-4621.3617487157699</v>
      </c>
      <c r="Z24" s="36">
        <f>Tax!Z35-Z99</f>
        <v>-5016.8209071196097</v>
      </c>
      <c r="AA24" s="36">
        <f>Tax!AA35-AA99</f>
        <v>-5428.4184684082611</v>
      </c>
      <c r="AB24" s="36">
        <f>Tax!AB35-AB99</f>
        <v>-5856.9079484447375</v>
      </c>
      <c r="AC24" s="36">
        <f>Tax!AC35-AC99</f>
        <v>-7860.7444447698272</v>
      </c>
      <c r="AD24" s="36">
        <f>Tax!AD35-AD99</f>
        <v>-8126.5544475870192</v>
      </c>
      <c r="AE24" s="36">
        <f>Tax!AE35-AE99</f>
        <v>-8399.8278989101836</v>
      </c>
      <c r="AF24" s="36">
        <f>Tax!AF35-AF99</f>
        <v>-8680.7726742846971</v>
      </c>
      <c r="AG24" s="36">
        <f>Tax!AG35-AG99</f>
        <v>-8969.6023926579528</v>
      </c>
    </row>
    <row r="25" spans="2:33" ht="15" customHeight="1">
      <c r="E25" s="112" t="s">
        <v>87</v>
      </c>
      <c r="F25" s="107" t="str">
        <f>Inputs!$D$7</f>
        <v>HUF</v>
      </c>
      <c r="G25" s="108"/>
      <c r="H25" s="108"/>
      <c r="I25" s="108"/>
      <c r="J25" s="108"/>
      <c r="K25" s="110">
        <f t="shared" ref="K25:AG25" si="2">K23+K24</f>
        <v>0</v>
      </c>
      <c r="L25" s="110">
        <f t="shared" si="2"/>
        <v>0</v>
      </c>
      <c r="M25" s="110">
        <f t="shared" si="2"/>
        <v>0</v>
      </c>
      <c r="N25" s="110">
        <f t="shared" si="2"/>
        <v>13074.456435301225</v>
      </c>
      <c r="O25" s="110">
        <f t="shared" si="2"/>
        <v>18571.278511939548</v>
      </c>
      <c r="P25" s="110">
        <f t="shared" si="2"/>
        <v>23652.988403702238</v>
      </c>
      <c r="Q25" s="110">
        <f t="shared" si="2"/>
        <v>28429.502863276997</v>
      </c>
      <c r="R25" s="110">
        <f t="shared" si="2"/>
        <v>32989.967584673286</v>
      </c>
      <c r="S25" s="110">
        <f t="shared" si="2"/>
        <v>37406.972869628611</v>
      </c>
      <c r="T25" s="110">
        <f t="shared" si="2"/>
        <v>41739.929533409733</v>
      </c>
      <c r="U25" s="110">
        <f t="shared" si="2"/>
        <v>46037.773195787639</v>
      </c>
      <c r="V25" s="110">
        <f t="shared" si="2"/>
        <v>50341.131485191538</v>
      </c>
      <c r="W25" s="110">
        <f t="shared" si="2"/>
        <v>54684.061790501735</v>
      </c>
      <c r="X25" s="110">
        <f t="shared" si="2"/>
        <v>56457.348025801839</v>
      </c>
      <c r="Y25" s="110">
        <f t="shared" si="2"/>
        <v>57019.223484038295</v>
      </c>
      <c r="Z25" s="110">
        <f t="shared" si="2"/>
        <v>61017.754974566087</v>
      </c>
      <c r="AA25" s="110">
        <f t="shared" si="2"/>
        <v>65179.463649818019</v>
      </c>
      <c r="AB25" s="110">
        <f t="shared" si="2"/>
        <v>69511.968392408991</v>
      </c>
      <c r="AC25" s="110">
        <f t="shared" si="2"/>
        <v>84580.773855251624</v>
      </c>
      <c r="AD25" s="110">
        <f t="shared" si="2"/>
        <v>87268.408328181016</v>
      </c>
      <c r="AE25" s="110">
        <f t="shared" si="2"/>
        <v>90031.506558226305</v>
      </c>
      <c r="AF25" s="110">
        <f t="shared" si="2"/>
        <v>92872.170398124174</v>
      </c>
      <c r="AG25" s="110">
        <f t="shared" si="2"/>
        <v>95792.559772787092</v>
      </c>
    </row>
    <row r="26" spans="2:33">
      <c r="K26" s="34"/>
      <c r="L26" s="34"/>
      <c r="M26" s="34"/>
      <c r="N26" s="34"/>
      <c r="O26" s="34"/>
      <c r="P26" s="34"/>
      <c r="Q26" s="34"/>
      <c r="R26" s="34"/>
      <c r="S26" s="34"/>
      <c r="T26" s="34"/>
      <c r="U26" s="34"/>
      <c r="V26" s="34"/>
      <c r="W26" s="34"/>
      <c r="X26" s="34"/>
      <c r="Y26" s="34"/>
      <c r="Z26" s="34"/>
      <c r="AA26" s="34"/>
      <c r="AB26" s="34"/>
      <c r="AC26" s="34"/>
      <c r="AD26" s="34"/>
      <c r="AE26" s="34"/>
      <c r="AF26" s="34"/>
      <c r="AG26" s="34"/>
    </row>
    <row r="27" spans="2:33" ht="15" customHeight="1">
      <c r="B27" s="40"/>
      <c r="C27" s="14" t="s">
        <v>777</v>
      </c>
      <c r="D27" s="40"/>
      <c r="E27" s="40"/>
      <c r="F27" s="40"/>
      <c r="G27" s="40"/>
      <c r="H27" s="40"/>
      <c r="I27" s="40"/>
      <c r="J27" s="40"/>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row>
    <row r="28" spans="2:33" ht="15" customHeight="1">
      <c r="E28" s="25" t="s">
        <v>87</v>
      </c>
      <c r="F28" s="7" t="str">
        <f>Inputs!$D$7</f>
        <v>HUF</v>
      </c>
      <c r="K28" s="36">
        <f t="shared" ref="K28:AG28" si="3">K25</f>
        <v>0</v>
      </c>
      <c r="L28" s="36">
        <f t="shared" si="3"/>
        <v>0</v>
      </c>
      <c r="M28" s="36">
        <f t="shared" si="3"/>
        <v>0</v>
      </c>
      <c r="N28" s="36">
        <f t="shared" si="3"/>
        <v>13074.456435301225</v>
      </c>
      <c r="O28" s="36">
        <f t="shared" si="3"/>
        <v>18571.278511939548</v>
      </c>
      <c r="P28" s="36">
        <f t="shared" si="3"/>
        <v>23652.988403702238</v>
      </c>
      <c r="Q28" s="36">
        <f t="shared" si="3"/>
        <v>28429.502863276997</v>
      </c>
      <c r="R28" s="36">
        <f t="shared" si="3"/>
        <v>32989.967584673286</v>
      </c>
      <c r="S28" s="36">
        <f t="shared" si="3"/>
        <v>37406.972869628611</v>
      </c>
      <c r="T28" s="36">
        <f t="shared" si="3"/>
        <v>41739.929533409733</v>
      </c>
      <c r="U28" s="36">
        <f t="shared" si="3"/>
        <v>46037.773195787639</v>
      </c>
      <c r="V28" s="36">
        <f t="shared" si="3"/>
        <v>50341.131485191538</v>
      </c>
      <c r="W28" s="36">
        <f t="shared" si="3"/>
        <v>54684.061790501735</v>
      </c>
      <c r="X28" s="36">
        <f t="shared" si="3"/>
        <v>56457.348025801839</v>
      </c>
      <c r="Y28" s="36">
        <f t="shared" si="3"/>
        <v>57019.223484038295</v>
      </c>
      <c r="Z28" s="36">
        <f t="shared" si="3"/>
        <v>61017.754974566087</v>
      </c>
      <c r="AA28" s="36">
        <f t="shared" si="3"/>
        <v>65179.463649818019</v>
      </c>
      <c r="AB28" s="36">
        <f t="shared" si="3"/>
        <v>69511.968392408991</v>
      </c>
      <c r="AC28" s="36">
        <f t="shared" si="3"/>
        <v>84580.773855251624</v>
      </c>
      <c r="AD28" s="36">
        <f t="shared" si="3"/>
        <v>87268.408328181016</v>
      </c>
      <c r="AE28" s="36">
        <f t="shared" si="3"/>
        <v>90031.506558226305</v>
      </c>
      <c r="AF28" s="36">
        <f t="shared" si="3"/>
        <v>92872.170398124174</v>
      </c>
      <c r="AG28" s="36">
        <f t="shared" si="3"/>
        <v>95792.559772787092</v>
      </c>
    </row>
    <row r="29" spans="2:33" ht="15" customHeight="1">
      <c r="E29" s="25" t="s">
        <v>778</v>
      </c>
      <c r="F29" s="7" t="str">
        <f>Inputs!$D$7</f>
        <v>HUF</v>
      </c>
      <c r="K29" s="36">
        <f>-Depreciation!K63</f>
        <v>0</v>
      </c>
      <c r="L29" s="36">
        <f>-Depreciation!L63</f>
        <v>0</v>
      </c>
      <c r="M29" s="36">
        <f>-Depreciation!M63</f>
        <v>0</v>
      </c>
      <c r="N29" s="36">
        <f>-Depreciation!N63</f>
        <v>34307.071193781507</v>
      </c>
      <c r="O29" s="36">
        <f>-Depreciation!O63</f>
        <v>34307.071193781507</v>
      </c>
      <c r="P29" s="36">
        <f>-Depreciation!P63</f>
        <v>34307.071193781507</v>
      </c>
      <c r="Q29" s="36">
        <f>-Depreciation!Q63</f>
        <v>34307.071193781507</v>
      </c>
      <c r="R29" s="36">
        <f>-Depreciation!R63</f>
        <v>34307.071193781507</v>
      </c>
      <c r="S29" s="36">
        <f>-Depreciation!S63</f>
        <v>34307.071193781507</v>
      </c>
      <c r="T29" s="36">
        <f>-Depreciation!T63</f>
        <v>34307.071193781507</v>
      </c>
      <c r="U29" s="36">
        <f>-Depreciation!U63</f>
        <v>34307.071193781507</v>
      </c>
      <c r="V29" s="36">
        <f>-Depreciation!V63</f>
        <v>34307.071193781507</v>
      </c>
      <c r="W29" s="36">
        <f>-Depreciation!W63</f>
        <v>34307.071193781507</v>
      </c>
      <c r="X29" s="36">
        <f>-Depreciation!X63</f>
        <v>34307.071193781507</v>
      </c>
      <c r="Y29" s="36">
        <f>-Depreciation!Y63</f>
        <v>34307.071193781507</v>
      </c>
      <c r="Z29" s="36">
        <f>-Depreciation!Z63</f>
        <v>34307.071193781507</v>
      </c>
      <c r="AA29" s="36">
        <f>-Depreciation!AA63</f>
        <v>34307.071193781507</v>
      </c>
      <c r="AB29" s="36">
        <f>-Depreciation!AB63</f>
        <v>34307.071193781507</v>
      </c>
      <c r="AC29" s="36">
        <f>-Depreciation!AC63</f>
        <v>16999.711193781564</v>
      </c>
      <c r="AD29" s="36">
        <f>-Depreciation!AD63</f>
        <v>16999.711193781506</v>
      </c>
      <c r="AE29" s="36">
        <f>-Depreciation!AE63</f>
        <v>16999.711193781506</v>
      </c>
      <c r="AF29" s="36">
        <f>-Depreciation!AF63</f>
        <v>16999.711193781506</v>
      </c>
      <c r="AG29" s="36">
        <f>-Depreciation!AG63</f>
        <v>16999.711193781484</v>
      </c>
    </row>
    <row r="30" spans="2:33" ht="15" customHeight="1">
      <c r="E30" s="25" t="s">
        <v>779</v>
      </c>
      <c r="F30" s="7" t="str">
        <f>Inputs!$D$7</f>
        <v>HUF</v>
      </c>
      <c r="K30" s="36">
        <f t="shared" ref="K30:AG30" si="4">-K21</f>
        <v>0</v>
      </c>
      <c r="L30" s="36">
        <f t="shared" si="4"/>
        <v>0</v>
      </c>
      <c r="M30" s="36">
        <f t="shared" si="4"/>
        <v>0</v>
      </c>
      <c r="N30" s="36">
        <f t="shared" si="4"/>
        <v>-10292.121358134451</v>
      </c>
      <c r="O30" s="36">
        <f t="shared" si="4"/>
        <v>-10292.121358134451</v>
      </c>
      <c r="P30" s="36">
        <f t="shared" si="4"/>
        <v>-10292.121358134451</v>
      </c>
      <c r="Q30" s="36">
        <f t="shared" si="4"/>
        <v>-10292.121358134451</v>
      </c>
      <c r="R30" s="36">
        <f t="shared" si="4"/>
        <v>-10292.121358134451</v>
      </c>
      <c r="S30" s="36">
        <f t="shared" si="4"/>
        <v>-10292.121358134451</v>
      </c>
      <c r="T30" s="36">
        <f t="shared" si="4"/>
        <v>-10292.121358134451</v>
      </c>
      <c r="U30" s="36">
        <f t="shared" si="4"/>
        <v>-10292.121358134451</v>
      </c>
      <c r="V30" s="36">
        <f t="shared" si="4"/>
        <v>-10292.121358134451</v>
      </c>
      <c r="W30" s="36">
        <f t="shared" si="4"/>
        <v>-10292.121358134451</v>
      </c>
      <c r="X30" s="36">
        <f t="shared" si="4"/>
        <v>-10292.121358134451</v>
      </c>
      <c r="Y30" s="36">
        <f t="shared" si="4"/>
        <v>-10292.121358134451</v>
      </c>
      <c r="Z30" s="36">
        <f t="shared" si="4"/>
        <v>-10292.121358134451</v>
      </c>
      <c r="AA30" s="36">
        <f t="shared" si="4"/>
        <v>-10292.121358134451</v>
      </c>
      <c r="AB30" s="36">
        <f t="shared" si="4"/>
        <v>-10292.121358134451</v>
      </c>
      <c r="AC30" s="36">
        <f t="shared" si="4"/>
        <v>-5099.9133581344695</v>
      </c>
      <c r="AD30" s="36">
        <f t="shared" si="4"/>
        <v>-5099.9133581344513</v>
      </c>
      <c r="AE30" s="36">
        <f t="shared" si="4"/>
        <v>-5099.9133581344513</v>
      </c>
      <c r="AF30" s="36">
        <f t="shared" si="4"/>
        <v>-5099.9133581344513</v>
      </c>
      <c r="AG30" s="36">
        <f t="shared" si="4"/>
        <v>-5099.9133581344449</v>
      </c>
    </row>
    <row r="31" spans="2:33" ht="15" customHeight="1">
      <c r="E31" s="11" t="s">
        <v>88</v>
      </c>
      <c r="F31" s="7" t="str">
        <f>Inputs!$D$7</f>
        <v>HUF</v>
      </c>
      <c r="K31" s="115">
        <f t="shared" ref="K31:AG31" si="5">K28+K29+K30-K89+K99</f>
        <v>0</v>
      </c>
      <c r="L31" s="115">
        <f t="shared" si="5"/>
        <v>0</v>
      </c>
      <c r="M31" s="115">
        <f t="shared" si="5"/>
        <v>0</v>
      </c>
      <c r="N31" s="115">
        <f t="shared" si="5"/>
        <v>46908.251926067613</v>
      </c>
      <c r="O31" s="115">
        <f t="shared" si="5"/>
        <v>49996.039114079409</v>
      </c>
      <c r="P31" s="115">
        <f t="shared" si="5"/>
        <v>52976.189015698495</v>
      </c>
      <c r="Q31" s="115">
        <f t="shared" si="5"/>
        <v>56071.390213833423</v>
      </c>
      <c r="R31" s="115">
        <f t="shared" si="5"/>
        <v>59286.737257676999</v>
      </c>
      <c r="S31" s="115">
        <f t="shared" si="5"/>
        <v>62627.579489962125</v>
      </c>
      <c r="T31" s="115">
        <f t="shared" si="5"/>
        <v>66099.534914769465</v>
      </c>
      <c r="U31" s="115">
        <f t="shared" si="5"/>
        <v>69708.504858099419</v>
      </c>
      <c r="V31" s="115">
        <f t="shared" si="5"/>
        <v>73460.689467696357</v>
      </c>
      <c r="W31" s="115">
        <f t="shared" si="5"/>
        <v>77362.604101370031</v>
      </c>
      <c r="X31" s="115">
        <f t="shared" si="5"/>
        <v>78782.9990009639</v>
      </c>
      <c r="Y31" s="115">
        <f t="shared" si="5"/>
        <v>79062.48047338106</v>
      </c>
      <c r="Z31" s="115">
        <f t="shared" si="5"/>
        <v>82835.013690017033</v>
      </c>
      <c r="AA31" s="115">
        <f t="shared" si="5"/>
        <v>86815.83844293312</v>
      </c>
      <c r="AB31" s="115">
        <f t="shared" si="5"/>
        <v>91003.548475558957</v>
      </c>
      <c r="AC31" s="115">
        <f t="shared" si="5"/>
        <v>95398.938677682294</v>
      </c>
      <c r="AD31" s="115">
        <f t="shared" si="5"/>
        <v>97993.740355969203</v>
      </c>
      <c r="AE31" s="115">
        <f t="shared" si="5"/>
        <v>100682.47765734902</v>
      </c>
      <c r="AF31" s="115">
        <f t="shared" si="5"/>
        <v>103463.55558001557</v>
      </c>
      <c r="AG31" s="115">
        <f t="shared" si="5"/>
        <v>106336.1765098842</v>
      </c>
    </row>
    <row r="32" spans="2:33" ht="15" customHeight="1">
      <c r="E32" s="25" t="s">
        <v>780</v>
      </c>
      <c r="F32" s="7" t="str">
        <f>Inputs!$D$7</f>
        <v>HUF</v>
      </c>
      <c r="K32" s="36">
        <f>-Construction!K58-Financing!K48-Financing!K50</f>
        <v>0</v>
      </c>
      <c r="L32" s="36">
        <f>-Construction!L58-Financing!L48-Financing!L50</f>
        <v>-355932.70927488001</v>
      </c>
      <c r="M32" s="36">
        <f>-Construction!M58-Financing!M48-Financing!M50</f>
        <v>-373676.22045365756</v>
      </c>
      <c r="N32" s="36">
        <f>-Construction!N58-Financing!N48-Financing!N50</f>
        <v>0</v>
      </c>
      <c r="O32" s="36">
        <f>-Construction!O58-Financing!O48-Financing!O50</f>
        <v>0</v>
      </c>
      <c r="P32" s="36">
        <f>-Construction!P58-Financing!P48-Financing!P50</f>
        <v>0</v>
      </c>
      <c r="Q32" s="36">
        <f>-Construction!Q58-Financing!Q48-Financing!Q50</f>
        <v>0</v>
      </c>
      <c r="R32" s="36">
        <f>-Construction!R58-Financing!R48-Financing!R50</f>
        <v>0</v>
      </c>
      <c r="S32" s="36">
        <f>-Construction!S58-Financing!S48-Financing!S50</f>
        <v>0</v>
      </c>
      <c r="T32" s="36">
        <f>-Construction!T58-Financing!T48-Financing!T50</f>
        <v>0</v>
      </c>
      <c r="U32" s="36">
        <f>-Construction!U58-Financing!U48-Financing!U50</f>
        <v>0</v>
      </c>
      <c r="V32" s="36">
        <f>-Construction!V58-Financing!V48-Financing!V50</f>
        <v>0</v>
      </c>
      <c r="W32" s="36">
        <f>-Construction!W58-Financing!W48-Financing!W50</f>
        <v>0</v>
      </c>
      <c r="X32" s="36">
        <f>-Construction!X58-Financing!X48-Financing!X50</f>
        <v>0</v>
      </c>
      <c r="Y32" s="36">
        <f>-Construction!Y58-Financing!Y48-Financing!Y50</f>
        <v>0</v>
      </c>
      <c r="Z32" s="36">
        <f>-Construction!Z58-Financing!Z48-Financing!Z50</f>
        <v>0</v>
      </c>
      <c r="AA32" s="36">
        <f>-Construction!AA58-Financing!AA48-Financing!AA50</f>
        <v>0</v>
      </c>
      <c r="AB32" s="36">
        <f>-Construction!AB58-Financing!AB48-Financing!AB50</f>
        <v>0</v>
      </c>
      <c r="AC32" s="36">
        <f>-Construction!AC58-Financing!AC48-Financing!AC50</f>
        <v>0</v>
      </c>
      <c r="AD32" s="36">
        <f>-Construction!AD58-Financing!AD48-Financing!AD50</f>
        <v>0</v>
      </c>
      <c r="AE32" s="36">
        <f>-Construction!AE58-Financing!AE48-Financing!AE50</f>
        <v>0</v>
      </c>
      <c r="AF32" s="36">
        <f>-Construction!AF58-Financing!AF48-Financing!AF50</f>
        <v>0</v>
      </c>
      <c r="AG32" s="36">
        <f>-Construction!AG58-Financing!AG48-Financing!AG50</f>
        <v>0</v>
      </c>
    </row>
    <row r="33" spans="2:33" ht="15" customHeight="1">
      <c r="E33" s="25" t="s">
        <v>781</v>
      </c>
      <c r="F33" s="7" t="str">
        <f>Inputs!$D$7</f>
        <v>HUF</v>
      </c>
      <c r="K33" s="36">
        <f>Financing!K71</f>
        <v>0</v>
      </c>
      <c r="L33" s="36">
        <f>Financing!L71</f>
        <v>106248.5699328</v>
      </c>
      <c r="M33" s="36">
        <f>Financing!M71</f>
        <v>108373.54133145598</v>
      </c>
      <c r="N33" s="36">
        <f>Financing!N71</f>
        <v>0</v>
      </c>
      <c r="O33" s="36">
        <f>Financing!O71</f>
        <v>0</v>
      </c>
      <c r="P33" s="36">
        <f>Financing!P71</f>
        <v>0</v>
      </c>
      <c r="Q33" s="36">
        <f>Financing!Q71</f>
        <v>0</v>
      </c>
      <c r="R33" s="36">
        <f>Financing!R71</f>
        <v>0</v>
      </c>
      <c r="S33" s="36">
        <f>Financing!S71</f>
        <v>0</v>
      </c>
      <c r="T33" s="36">
        <f>Financing!T71</f>
        <v>0</v>
      </c>
      <c r="U33" s="36">
        <f>Financing!U71</f>
        <v>0</v>
      </c>
      <c r="V33" s="36">
        <f>Financing!V71</f>
        <v>0</v>
      </c>
      <c r="W33" s="36">
        <f>Financing!W71</f>
        <v>0</v>
      </c>
      <c r="X33" s="36">
        <f>Financing!X71</f>
        <v>0</v>
      </c>
      <c r="Y33" s="36">
        <f>Financing!Y71</f>
        <v>0</v>
      </c>
      <c r="Z33" s="36">
        <f>Financing!Z71</f>
        <v>0</v>
      </c>
      <c r="AA33" s="36">
        <f>Financing!AA71</f>
        <v>0</v>
      </c>
      <c r="AB33" s="36">
        <f>Financing!AB71</f>
        <v>0</v>
      </c>
      <c r="AC33" s="36">
        <f>Financing!AC71</f>
        <v>0</v>
      </c>
      <c r="AD33" s="36">
        <f>Financing!AD71</f>
        <v>0</v>
      </c>
      <c r="AE33" s="36">
        <f>Financing!AE71</f>
        <v>0</v>
      </c>
      <c r="AF33" s="36">
        <f>Financing!AF71</f>
        <v>0</v>
      </c>
      <c r="AG33" s="36">
        <f>Financing!AG71</f>
        <v>0</v>
      </c>
    </row>
    <row r="34" spans="2:33" ht="15" customHeight="1">
      <c r="E34" s="25" t="s">
        <v>782</v>
      </c>
      <c r="F34" s="7" t="str">
        <f>Inputs!$D$7</f>
        <v>HUF</v>
      </c>
      <c r="K34" s="36">
        <f>Financing!K72</f>
        <v>0</v>
      </c>
      <c r="L34" s="36">
        <f>Financing!L72</f>
        <v>177080.949888</v>
      </c>
      <c r="M34" s="36">
        <f>Financing!M72</f>
        <v>180622.56888575997</v>
      </c>
      <c r="N34" s="36">
        <f>Financing!N72</f>
        <v>0</v>
      </c>
      <c r="O34" s="36">
        <f>Financing!O72</f>
        <v>0</v>
      </c>
      <c r="P34" s="36">
        <f>Financing!P72</f>
        <v>0</v>
      </c>
      <c r="Q34" s="36">
        <f>Financing!Q72</f>
        <v>0</v>
      </c>
      <c r="R34" s="36">
        <f>Financing!R72</f>
        <v>0</v>
      </c>
      <c r="S34" s="36">
        <f>Financing!S72</f>
        <v>0</v>
      </c>
      <c r="T34" s="36">
        <f>Financing!T72</f>
        <v>0</v>
      </c>
      <c r="U34" s="36">
        <f>Financing!U72</f>
        <v>0</v>
      </c>
      <c r="V34" s="36">
        <f>Financing!V72</f>
        <v>0</v>
      </c>
      <c r="W34" s="36">
        <f>Financing!W72</f>
        <v>0</v>
      </c>
      <c r="X34" s="36">
        <f>Financing!X72</f>
        <v>0</v>
      </c>
      <c r="Y34" s="36">
        <f>Financing!Y72</f>
        <v>0</v>
      </c>
      <c r="Z34" s="36">
        <f>Financing!Z72</f>
        <v>0</v>
      </c>
      <c r="AA34" s="36">
        <f>Financing!AA72</f>
        <v>0</v>
      </c>
      <c r="AB34" s="36">
        <f>Financing!AB72</f>
        <v>0</v>
      </c>
      <c r="AC34" s="36">
        <f>Financing!AC72</f>
        <v>0</v>
      </c>
      <c r="AD34" s="36">
        <f>Financing!AD72</f>
        <v>0</v>
      </c>
      <c r="AE34" s="36">
        <f>Financing!AE72</f>
        <v>0</v>
      </c>
      <c r="AF34" s="36">
        <f>Financing!AF72</f>
        <v>0</v>
      </c>
      <c r="AG34" s="36">
        <f>Financing!AG72</f>
        <v>0</v>
      </c>
    </row>
    <row r="35" spans="2:33" ht="15" customHeight="1">
      <c r="E35" s="25" t="s">
        <v>783</v>
      </c>
      <c r="F35" s="7" t="str">
        <f>Inputs!$D$7</f>
        <v>HUF</v>
      </c>
      <c r="K35" s="36">
        <f>Financing!K73</f>
        <v>0</v>
      </c>
      <c r="L35" s="36">
        <f>Financing!L73</f>
        <v>72603.189454079984</v>
      </c>
      <c r="M35" s="36">
        <f>Financing!M73</f>
        <v>84680.110236441586</v>
      </c>
      <c r="N35" s="36">
        <f>Financing!N73</f>
        <v>0</v>
      </c>
      <c r="O35" s="36">
        <f>Financing!O73</f>
        <v>0</v>
      </c>
      <c r="P35" s="36">
        <f>Financing!P73</f>
        <v>0</v>
      </c>
      <c r="Q35" s="36">
        <f>Financing!Q73</f>
        <v>0</v>
      </c>
      <c r="R35" s="36">
        <f>Financing!R73</f>
        <v>0</v>
      </c>
      <c r="S35" s="36">
        <f>Financing!S73</f>
        <v>0</v>
      </c>
      <c r="T35" s="36">
        <f>Financing!T73</f>
        <v>0</v>
      </c>
      <c r="U35" s="36">
        <f>Financing!U73</f>
        <v>0</v>
      </c>
      <c r="V35" s="36">
        <f>Financing!V73</f>
        <v>0</v>
      </c>
      <c r="W35" s="36">
        <f>Financing!W73</f>
        <v>0</v>
      </c>
      <c r="X35" s="36">
        <f>Financing!X73</f>
        <v>0</v>
      </c>
      <c r="Y35" s="36">
        <f>Financing!Y73</f>
        <v>0</v>
      </c>
      <c r="Z35" s="36">
        <f>Financing!Z73</f>
        <v>0</v>
      </c>
      <c r="AA35" s="36">
        <f>Financing!AA73</f>
        <v>0</v>
      </c>
      <c r="AB35" s="36">
        <f>Financing!AB73</f>
        <v>0</v>
      </c>
      <c r="AC35" s="36">
        <f>Financing!AC73</f>
        <v>0</v>
      </c>
      <c r="AD35" s="36">
        <f>Financing!AD73</f>
        <v>0</v>
      </c>
      <c r="AE35" s="36">
        <f>Financing!AE73</f>
        <v>0</v>
      </c>
      <c r="AF35" s="36">
        <f>Financing!AF73</f>
        <v>0</v>
      </c>
      <c r="AG35" s="36">
        <f>Financing!AG73</f>
        <v>0</v>
      </c>
    </row>
    <row r="36" spans="2:33" ht="15" customHeight="1">
      <c r="E36" s="25" t="s">
        <v>784</v>
      </c>
      <c r="F36" s="7" t="str">
        <f>Inputs!$D$7</f>
        <v>HUF</v>
      </c>
      <c r="K36" s="36">
        <f>-Financing!K52</f>
        <v>0</v>
      </c>
      <c r="L36" s="36">
        <f>-Financing!L52</f>
        <v>0</v>
      </c>
      <c r="M36" s="36">
        <f>-Financing!M52</f>
        <v>0</v>
      </c>
      <c r="N36" s="36">
        <f>-Financing!N52</f>
        <v>-15367.931843061815</v>
      </c>
      <c r="O36" s="36">
        <f>-Financing!O52</f>
        <v>-16290.007753645521</v>
      </c>
      <c r="P36" s="36">
        <f>-Financing!P52</f>
        <v>-17267.408218864253</v>
      </c>
      <c r="Q36" s="36">
        <f>-Financing!Q52</f>
        <v>-18303.452711996109</v>
      </c>
      <c r="R36" s="36">
        <f>-Financing!R52</f>
        <v>-19401.659874715875</v>
      </c>
      <c r="S36" s="36">
        <f>-Financing!S52</f>
        <v>-20565.759467198826</v>
      </c>
      <c r="T36" s="36">
        <f>-Financing!T52</f>
        <v>-21799.705035230756</v>
      </c>
      <c r="U36" s="36">
        <f>-Financing!U52</f>
        <v>-23107.687337344603</v>
      </c>
      <c r="V36" s="36">
        <f>-Financing!V52</f>
        <v>-24494.148577585278</v>
      </c>
      <c r="W36" s="36">
        <f>-Financing!W52</f>
        <v>-25963.797492240396</v>
      </c>
      <c r="X36" s="36">
        <f>-Financing!X52</f>
        <v>-27521.625341774816</v>
      </c>
      <c r="Y36" s="36">
        <f>-Financing!Y52</f>
        <v>-29172.922862281306</v>
      </c>
      <c r="Z36" s="36">
        <f>-Financing!Z52</f>
        <v>-30923.298234018184</v>
      </c>
      <c r="AA36" s="36">
        <f>-Financing!AA52</f>
        <v>-32778.696128059273</v>
      </c>
      <c r="AB36" s="36">
        <f>-Financing!AB52</f>
        <v>-34745.41789574283</v>
      </c>
      <c r="AC36" s="36">
        <f>-Financing!AC52</f>
        <v>-1.1641532182693481E-10</v>
      </c>
      <c r="AD36" s="36">
        <f>-Financing!AD52</f>
        <v>0</v>
      </c>
      <c r="AE36" s="36">
        <f>-Financing!AE52</f>
        <v>0</v>
      </c>
      <c r="AF36" s="36">
        <f>-Financing!AF52</f>
        <v>0</v>
      </c>
      <c r="AG36" s="36">
        <f>-Financing!AG52</f>
        <v>0</v>
      </c>
    </row>
    <row r="37" spans="2:33" ht="15" customHeight="1">
      <c r="E37" s="112" t="s">
        <v>785</v>
      </c>
      <c r="F37" s="107" t="str">
        <f>Inputs!$D$7</f>
        <v>HUF</v>
      </c>
      <c r="G37" s="108"/>
      <c r="H37" s="108"/>
      <c r="I37" s="108"/>
      <c r="J37" s="108"/>
      <c r="K37" s="110">
        <f t="shared" ref="K37:AG37" si="6">K31+K32+K33+K34+K35+K36</f>
        <v>0</v>
      </c>
      <c r="L37" s="110">
        <f t="shared" si="6"/>
        <v>0</v>
      </c>
      <c r="M37" s="110">
        <f t="shared" si="6"/>
        <v>-1.4551915228366852E-11</v>
      </c>
      <c r="N37" s="110">
        <f t="shared" si="6"/>
        <v>31540.320083005798</v>
      </c>
      <c r="O37" s="110">
        <f t="shared" si="6"/>
        <v>33706.031360433888</v>
      </c>
      <c r="P37" s="110">
        <f t="shared" si="6"/>
        <v>35708.780796834239</v>
      </c>
      <c r="Q37" s="110">
        <f t="shared" si="6"/>
        <v>37767.93750183731</v>
      </c>
      <c r="R37" s="110">
        <f t="shared" si="6"/>
        <v>39885.077382961128</v>
      </c>
      <c r="S37" s="110">
        <f t="shared" si="6"/>
        <v>42061.820022763299</v>
      </c>
      <c r="T37" s="110">
        <f t="shared" si="6"/>
        <v>44299.829879538709</v>
      </c>
      <c r="U37" s="110">
        <f t="shared" si="6"/>
        <v>46600.817520754819</v>
      </c>
      <c r="V37" s="110">
        <f t="shared" si="6"/>
        <v>48966.540890111079</v>
      </c>
      <c r="W37" s="110">
        <f t="shared" si="6"/>
        <v>51398.806609129635</v>
      </c>
      <c r="X37" s="110">
        <f t="shared" si="6"/>
        <v>51261.373659189085</v>
      </c>
      <c r="Y37" s="110">
        <f t="shared" si="6"/>
        <v>49889.55761109975</v>
      </c>
      <c r="Z37" s="110">
        <f t="shared" si="6"/>
        <v>51911.715455998848</v>
      </c>
      <c r="AA37" s="110">
        <f t="shared" si="6"/>
        <v>54037.142314873847</v>
      </c>
      <c r="AB37" s="110">
        <f t="shared" si="6"/>
        <v>56258.130579816127</v>
      </c>
      <c r="AC37" s="110">
        <f t="shared" si="6"/>
        <v>95398.938677682178</v>
      </c>
      <c r="AD37" s="110">
        <f t="shared" si="6"/>
        <v>97993.740355969203</v>
      </c>
      <c r="AE37" s="110">
        <f t="shared" si="6"/>
        <v>100682.47765734902</v>
      </c>
      <c r="AF37" s="110">
        <f t="shared" si="6"/>
        <v>103463.55558001557</v>
      </c>
      <c r="AG37" s="110">
        <f t="shared" si="6"/>
        <v>106336.1765098842</v>
      </c>
    </row>
    <row r="38" spans="2:33" ht="15" customHeight="1">
      <c r="E38" s="11" t="s">
        <v>786</v>
      </c>
      <c r="F38" s="7" t="str">
        <f>Inputs!$D$7</f>
        <v>HUF</v>
      </c>
      <c r="K38" s="115">
        <f>K37</f>
        <v>0</v>
      </c>
      <c r="L38" s="115">
        <f t="shared" ref="L38:AG38" si="7">K38+L37</f>
        <v>0</v>
      </c>
      <c r="M38" s="115">
        <f t="shared" si="7"/>
        <v>-1.4551915228366852E-11</v>
      </c>
      <c r="N38" s="115">
        <f t="shared" si="7"/>
        <v>31540.320083005783</v>
      </c>
      <c r="O38" s="115">
        <f t="shared" si="7"/>
        <v>65246.351443439671</v>
      </c>
      <c r="P38" s="115">
        <f t="shared" si="7"/>
        <v>100955.1322402739</v>
      </c>
      <c r="Q38" s="115">
        <f t="shared" si="7"/>
        <v>138723.0697421112</v>
      </c>
      <c r="R38" s="115">
        <f t="shared" si="7"/>
        <v>178608.14712507231</v>
      </c>
      <c r="S38" s="115">
        <f t="shared" si="7"/>
        <v>220669.96714783562</v>
      </c>
      <c r="T38" s="115">
        <f t="shared" si="7"/>
        <v>264969.79702737433</v>
      </c>
      <c r="U38" s="115">
        <f t="shared" si="7"/>
        <v>311570.61454812915</v>
      </c>
      <c r="V38" s="115">
        <f t="shared" si="7"/>
        <v>360537.15543824021</v>
      </c>
      <c r="W38" s="115">
        <f t="shared" si="7"/>
        <v>411935.96204736986</v>
      </c>
      <c r="X38" s="115">
        <f t="shared" si="7"/>
        <v>463197.33570655895</v>
      </c>
      <c r="Y38" s="115">
        <f t="shared" si="7"/>
        <v>513086.89331765869</v>
      </c>
      <c r="Z38" s="115">
        <f t="shared" si="7"/>
        <v>564998.60877365759</v>
      </c>
      <c r="AA38" s="115">
        <f t="shared" si="7"/>
        <v>619035.75108853146</v>
      </c>
      <c r="AB38" s="115">
        <f t="shared" si="7"/>
        <v>675293.88166834763</v>
      </c>
      <c r="AC38" s="115">
        <f t="shared" si="7"/>
        <v>770692.82034602982</v>
      </c>
      <c r="AD38" s="115">
        <f t="shared" si="7"/>
        <v>868686.560701999</v>
      </c>
      <c r="AE38" s="115">
        <f t="shared" si="7"/>
        <v>969369.03835934796</v>
      </c>
      <c r="AF38" s="115">
        <f t="shared" si="7"/>
        <v>1072832.5939393635</v>
      </c>
      <c r="AG38" s="115">
        <f t="shared" si="7"/>
        <v>1179168.7704492477</v>
      </c>
    </row>
    <row r="39" spans="2:33">
      <c r="K39" s="34"/>
      <c r="L39" s="34"/>
      <c r="M39" s="34"/>
      <c r="N39" s="34"/>
      <c r="O39" s="34"/>
      <c r="P39" s="34"/>
      <c r="Q39" s="34"/>
      <c r="R39" s="34"/>
      <c r="S39" s="34"/>
      <c r="T39" s="34"/>
      <c r="U39" s="34"/>
      <c r="V39" s="34"/>
      <c r="W39" s="34"/>
      <c r="X39" s="34"/>
      <c r="Y39" s="34"/>
      <c r="Z39" s="34"/>
      <c r="AA39" s="34"/>
      <c r="AB39" s="34"/>
      <c r="AC39" s="34"/>
      <c r="AD39" s="34"/>
      <c r="AE39" s="34"/>
      <c r="AF39" s="34"/>
      <c r="AG39" s="34"/>
    </row>
    <row r="40" spans="2:33" ht="15" customHeight="1">
      <c r="B40" s="40"/>
      <c r="C40" s="14" t="s">
        <v>787</v>
      </c>
      <c r="D40" s="40"/>
      <c r="E40" s="40"/>
      <c r="F40" s="40"/>
      <c r="G40" s="40"/>
      <c r="H40" s="40"/>
      <c r="I40" s="40"/>
      <c r="J40" s="40"/>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row>
    <row r="41" spans="2:33" ht="15" customHeight="1">
      <c r="E41" s="25" t="s">
        <v>788</v>
      </c>
      <c r="F41" s="7" t="str">
        <f>Inputs!$D$7</f>
        <v>HUF</v>
      </c>
      <c r="K41" s="36">
        <f>0</f>
        <v>0</v>
      </c>
      <c r="L41" s="36">
        <f t="shared" ref="L41:AG41" si="8">K44</f>
        <v>0</v>
      </c>
      <c r="M41" s="36">
        <f t="shared" si="8"/>
        <v>0</v>
      </c>
      <c r="N41" s="36">
        <f t="shared" si="8"/>
        <v>0</v>
      </c>
      <c r="O41" s="36">
        <f t="shared" si="8"/>
        <v>13074.456435301225</v>
      </c>
      <c r="P41" s="36">
        <f t="shared" si="8"/>
        <v>31645.734947240773</v>
      </c>
      <c r="Q41" s="36">
        <f t="shared" si="8"/>
        <v>55298.723350943008</v>
      </c>
      <c r="R41" s="36">
        <f t="shared" si="8"/>
        <v>83728.226214220005</v>
      </c>
      <c r="S41" s="36">
        <f t="shared" si="8"/>
        <v>116718.19379889329</v>
      </c>
      <c r="T41" s="36">
        <f t="shared" si="8"/>
        <v>154125.16666852191</v>
      </c>
      <c r="U41" s="36">
        <f t="shared" si="8"/>
        <v>195865.09620193165</v>
      </c>
      <c r="V41" s="36">
        <f t="shared" si="8"/>
        <v>241902.86939771927</v>
      </c>
      <c r="W41" s="36">
        <f t="shared" si="8"/>
        <v>292244.0008829108</v>
      </c>
      <c r="X41" s="36">
        <f t="shared" si="8"/>
        <v>346928.06267341255</v>
      </c>
      <c r="Y41" s="36">
        <f t="shared" si="8"/>
        <v>403385.41069921438</v>
      </c>
      <c r="Z41" s="36">
        <f t="shared" si="8"/>
        <v>460404.6341832527</v>
      </c>
      <c r="AA41" s="36">
        <f t="shared" si="8"/>
        <v>521422.3891578188</v>
      </c>
      <c r="AB41" s="36">
        <f t="shared" si="8"/>
        <v>586601.85280763684</v>
      </c>
      <c r="AC41" s="36">
        <f t="shared" si="8"/>
        <v>656113.82120004587</v>
      </c>
      <c r="AD41" s="36">
        <f t="shared" si="8"/>
        <v>740694.59505529748</v>
      </c>
      <c r="AE41" s="36">
        <f t="shared" si="8"/>
        <v>827963.0033834785</v>
      </c>
      <c r="AF41" s="36">
        <f t="shared" si="8"/>
        <v>917994.5099417048</v>
      </c>
      <c r="AG41" s="36">
        <f t="shared" si="8"/>
        <v>1010866.6803398289</v>
      </c>
    </row>
    <row r="42" spans="2:33" ht="15" customHeight="1">
      <c r="E42" s="25" t="s">
        <v>789</v>
      </c>
      <c r="F42" s="7" t="str">
        <f>Inputs!$D$7</f>
        <v>HUF</v>
      </c>
      <c r="K42" s="36">
        <f t="shared" ref="K42:AG42" si="9">K25</f>
        <v>0</v>
      </c>
      <c r="L42" s="36">
        <f t="shared" si="9"/>
        <v>0</v>
      </c>
      <c r="M42" s="36">
        <f t="shared" si="9"/>
        <v>0</v>
      </c>
      <c r="N42" s="36">
        <f t="shared" si="9"/>
        <v>13074.456435301225</v>
      </c>
      <c r="O42" s="36">
        <f t="shared" si="9"/>
        <v>18571.278511939548</v>
      </c>
      <c r="P42" s="36">
        <f t="shared" si="9"/>
        <v>23652.988403702238</v>
      </c>
      <c r="Q42" s="36">
        <f t="shared" si="9"/>
        <v>28429.502863276997</v>
      </c>
      <c r="R42" s="36">
        <f t="shared" si="9"/>
        <v>32989.967584673286</v>
      </c>
      <c r="S42" s="36">
        <f t="shared" si="9"/>
        <v>37406.972869628611</v>
      </c>
      <c r="T42" s="36">
        <f t="shared" si="9"/>
        <v>41739.929533409733</v>
      </c>
      <c r="U42" s="36">
        <f t="shared" si="9"/>
        <v>46037.773195787639</v>
      </c>
      <c r="V42" s="36">
        <f t="shared" si="9"/>
        <v>50341.131485191538</v>
      </c>
      <c r="W42" s="36">
        <f t="shared" si="9"/>
        <v>54684.061790501735</v>
      </c>
      <c r="X42" s="36">
        <f t="shared" si="9"/>
        <v>56457.348025801839</v>
      </c>
      <c r="Y42" s="36">
        <f t="shared" si="9"/>
        <v>57019.223484038295</v>
      </c>
      <c r="Z42" s="36">
        <f t="shared" si="9"/>
        <v>61017.754974566087</v>
      </c>
      <c r="AA42" s="36">
        <f t="shared" si="9"/>
        <v>65179.463649818019</v>
      </c>
      <c r="AB42" s="36">
        <f t="shared" si="9"/>
        <v>69511.968392408991</v>
      </c>
      <c r="AC42" s="36">
        <f t="shared" si="9"/>
        <v>84580.773855251624</v>
      </c>
      <c r="AD42" s="36">
        <f t="shared" si="9"/>
        <v>87268.408328181016</v>
      </c>
      <c r="AE42" s="36">
        <f t="shared" si="9"/>
        <v>90031.506558226305</v>
      </c>
      <c r="AF42" s="36">
        <f t="shared" si="9"/>
        <v>92872.170398124174</v>
      </c>
      <c r="AG42" s="36">
        <f t="shared" si="9"/>
        <v>95792.559772787092</v>
      </c>
    </row>
    <row r="43" spans="2:33" ht="15" customHeight="1">
      <c r="E43" s="25" t="s">
        <v>790</v>
      </c>
      <c r="F43" s="7" t="str">
        <f>Inputs!$D$7</f>
        <v>HUF</v>
      </c>
      <c r="K43" s="36">
        <f>0</f>
        <v>0</v>
      </c>
      <c r="L43" s="36">
        <f>0</f>
        <v>0</v>
      </c>
      <c r="M43" s="36">
        <f>0</f>
        <v>0</v>
      </c>
      <c r="N43" s="36">
        <f>0</f>
        <v>0</v>
      </c>
      <c r="O43" s="36">
        <f>0</f>
        <v>0</v>
      </c>
      <c r="P43" s="36">
        <f>0</f>
        <v>0</v>
      </c>
      <c r="Q43" s="36">
        <f>0</f>
        <v>0</v>
      </c>
      <c r="R43" s="36">
        <f>0</f>
        <v>0</v>
      </c>
      <c r="S43" s="36">
        <f>0</f>
        <v>0</v>
      </c>
      <c r="T43" s="36">
        <f>0</f>
        <v>0</v>
      </c>
      <c r="U43" s="36">
        <f>0</f>
        <v>0</v>
      </c>
      <c r="V43" s="36">
        <f>0</f>
        <v>0</v>
      </c>
      <c r="W43" s="36">
        <f>0</f>
        <v>0</v>
      </c>
      <c r="X43" s="36">
        <f>0</f>
        <v>0</v>
      </c>
      <c r="Y43" s="36">
        <f>0</f>
        <v>0</v>
      </c>
      <c r="Z43" s="36">
        <f>0</f>
        <v>0</v>
      </c>
      <c r="AA43" s="36">
        <f>0</f>
        <v>0</v>
      </c>
      <c r="AB43" s="36">
        <f>0</f>
        <v>0</v>
      </c>
      <c r="AC43" s="36">
        <f>0</f>
        <v>0</v>
      </c>
      <c r="AD43" s="36">
        <f>0</f>
        <v>0</v>
      </c>
      <c r="AE43" s="36">
        <f>0</f>
        <v>0</v>
      </c>
      <c r="AF43" s="36">
        <f>0</f>
        <v>0</v>
      </c>
      <c r="AG43" s="36">
        <f>0</f>
        <v>0</v>
      </c>
    </row>
    <row r="44" spans="2:33" ht="15" customHeight="1">
      <c r="E44" s="112" t="s">
        <v>791</v>
      </c>
      <c r="F44" s="107" t="str">
        <f>Inputs!$D$7</f>
        <v>HUF</v>
      </c>
      <c r="G44" s="108"/>
      <c r="H44" s="108"/>
      <c r="I44" s="108"/>
      <c r="J44" s="108"/>
      <c r="K44" s="110">
        <f t="shared" ref="K44:AG44" si="10">K41+K42+K43</f>
        <v>0</v>
      </c>
      <c r="L44" s="110">
        <f t="shared" si="10"/>
        <v>0</v>
      </c>
      <c r="M44" s="110">
        <f t="shared" si="10"/>
        <v>0</v>
      </c>
      <c r="N44" s="110">
        <f t="shared" si="10"/>
        <v>13074.456435301225</v>
      </c>
      <c r="O44" s="110">
        <f t="shared" si="10"/>
        <v>31645.734947240773</v>
      </c>
      <c r="P44" s="110">
        <f t="shared" si="10"/>
        <v>55298.723350943008</v>
      </c>
      <c r="Q44" s="110">
        <f t="shared" si="10"/>
        <v>83728.226214220005</v>
      </c>
      <c r="R44" s="110">
        <f t="shared" si="10"/>
        <v>116718.19379889329</v>
      </c>
      <c r="S44" s="110">
        <f t="shared" si="10"/>
        <v>154125.16666852191</v>
      </c>
      <c r="T44" s="110">
        <f t="shared" si="10"/>
        <v>195865.09620193165</v>
      </c>
      <c r="U44" s="110">
        <f t="shared" si="10"/>
        <v>241902.86939771927</v>
      </c>
      <c r="V44" s="110">
        <f t="shared" si="10"/>
        <v>292244.0008829108</v>
      </c>
      <c r="W44" s="110">
        <f t="shared" si="10"/>
        <v>346928.06267341255</v>
      </c>
      <c r="X44" s="110">
        <f t="shared" si="10"/>
        <v>403385.41069921438</v>
      </c>
      <c r="Y44" s="110">
        <f t="shared" si="10"/>
        <v>460404.6341832527</v>
      </c>
      <c r="Z44" s="110">
        <f t="shared" si="10"/>
        <v>521422.3891578188</v>
      </c>
      <c r="AA44" s="110">
        <f t="shared" si="10"/>
        <v>586601.85280763684</v>
      </c>
      <c r="AB44" s="110">
        <f t="shared" si="10"/>
        <v>656113.82120004587</v>
      </c>
      <c r="AC44" s="110">
        <f t="shared" si="10"/>
        <v>740694.59505529748</v>
      </c>
      <c r="AD44" s="110">
        <f t="shared" si="10"/>
        <v>827963.0033834785</v>
      </c>
      <c r="AE44" s="110">
        <f t="shared" si="10"/>
        <v>917994.5099417048</v>
      </c>
      <c r="AF44" s="110">
        <f t="shared" si="10"/>
        <v>1010866.6803398289</v>
      </c>
      <c r="AG44" s="110">
        <f t="shared" si="10"/>
        <v>1106659.240112616</v>
      </c>
    </row>
    <row r="45" spans="2:33">
      <c r="K45" s="34"/>
      <c r="L45" s="34"/>
      <c r="M45" s="34"/>
      <c r="N45" s="34"/>
      <c r="O45" s="34"/>
      <c r="P45" s="34"/>
      <c r="Q45" s="34"/>
      <c r="R45" s="34"/>
      <c r="S45" s="34"/>
      <c r="T45" s="34"/>
      <c r="U45" s="34"/>
      <c r="V45" s="34"/>
      <c r="W45" s="34"/>
      <c r="X45" s="34"/>
      <c r="Y45" s="34"/>
      <c r="Z45" s="34"/>
      <c r="AA45" s="34"/>
      <c r="AB45" s="34"/>
      <c r="AC45" s="34"/>
      <c r="AD45" s="34"/>
      <c r="AE45" s="34"/>
      <c r="AF45" s="34"/>
      <c r="AG45" s="34"/>
    </row>
    <row r="46" spans="2:33" ht="15" customHeight="1">
      <c r="B46" s="40"/>
      <c r="C46" s="14" t="s">
        <v>792</v>
      </c>
      <c r="D46" s="40"/>
      <c r="E46" s="40"/>
      <c r="F46" s="40"/>
      <c r="G46" s="40"/>
      <c r="H46" s="101" cm="1">
        <f t="array" ref="H46">IF(SUMPRODUCT(ABS(K58:AG58))&lt;1,0,1)</f>
        <v>0</v>
      </c>
      <c r="I46" s="40"/>
      <c r="J46" s="40"/>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row>
    <row r="47" spans="2:33" ht="15" customHeight="1">
      <c r="E47" s="11" t="s">
        <v>793</v>
      </c>
      <c r="F47" s="7" t="str">
        <f>Inputs!$D$7</f>
        <v>HUF</v>
      </c>
      <c r="K47" s="34"/>
      <c r="L47" s="34"/>
      <c r="M47" s="34"/>
      <c r="N47" s="34"/>
      <c r="O47" s="34"/>
      <c r="P47" s="34"/>
      <c r="Q47" s="34"/>
      <c r="R47" s="34"/>
      <c r="S47" s="34"/>
      <c r="T47" s="34"/>
      <c r="U47" s="34"/>
      <c r="V47" s="34"/>
      <c r="W47" s="34"/>
      <c r="X47" s="34"/>
      <c r="Y47" s="34"/>
      <c r="Z47" s="34"/>
      <c r="AA47" s="34"/>
      <c r="AB47" s="34"/>
      <c r="AC47" s="34"/>
      <c r="AD47" s="34"/>
      <c r="AE47" s="34"/>
      <c r="AF47" s="34"/>
      <c r="AG47" s="34"/>
    </row>
    <row r="48" spans="2:33" ht="15" customHeight="1">
      <c r="E48" s="25" t="s">
        <v>794</v>
      </c>
      <c r="F48" s="7" t="str">
        <f>Inputs!$D$7</f>
        <v>HUF</v>
      </c>
      <c r="K48" s="36">
        <f t="shared" ref="K48:AG48" si="11">K38</f>
        <v>0</v>
      </c>
      <c r="L48" s="36">
        <f t="shared" si="11"/>
        <v>0</v>
      </c>
      <c r="M48" s="36">
        <f t="shared" si="11"/>
        <v>-1.4551915228366852E-11</v>
      </c>
      <c r="N48" s="36">
        <f t="shared" si="11"/>
        <v>31540.320083005783</v>
      </c>
      <c r="O48" s="36">
        <f t="shared" si="11"/>
        <v>65246.351443439671</v>
      </c>
      <c r="P48" s="36">
        <f t="shared" si="11"/>
        <v>100955.1322402739</v>
      </c>
      <c r="Q48" s="36">
        <f t="shared" si="11"/>
        <v>138723.0697421112</v>
      </c>
      <c r="R48" s="36">
        <f t="shared" si="11"/>
        <v>178608.14712507231</v>
      </c>
      <c r="S48" s="36">
        <f t="shared" si="11"/>
        <v>220669.96714783562</v>
      </c>
      <c r="T48" s="36">
        <f t="shared" si="11"/>
        <v>264969.79702737433</v>
      </c>
      <c r="U48" s="36">
        <f t="shared" si="11"/>
        <v>311570.61454812915</v>
      </c>
      <c r="V48" s="36">
        <f t="shared" si="11"/>
        <v>360537.15543824021</v>
      </c>
      <c r="W48" s="36">
        <f t="shared" si="11"/>
        <v>411935.96204736986</v>
      </c>
      <c r="X48" s="36">
        <f t="shared" si="11"/>
        <v>463197.33570655895</v>
      </c>
      <c r="Y48" s="36">
        <f t="shared" si="11"/>
        <v>513086.89331765869</v>
      </c>
      <c r="Z48" s="36">
        <f t="shared" si="11"/>
        <v>564998.60877365759</v>
      </c>
      <c r="AA48" s="36">
        <f t="shared" si="11"/>
        <v>619035.75108853146</v>
      </c>
      <c r="AB48" s="36">
        <f t="shared" si="11"/>
        <v>675293.88166834763</v>
      </c>
      <c r="AC48" s="36">
        <f t="shared" si="11"/>
        <v>770692.82034602982</v>
      </c>
      <c r="AD48" s="36">
        <f t="shared" si="11"/>
        <v>868686.560701999</v>
      </c>
      <c r="AE48" s="36">
        <f t="shared" si="11"/>
        <v>969369.03835934796</v>
      </c>
      <c r="AF48" s="36">
        <f t="shared" si="11"/>
        <v>1072832.5939393635</v>
      </c>
      <c r="AG48" s="36">
        <f t="shared" si="11"/>
        <v>1179168.7704492477</v>
      </c>
    </row>
    <row r="49" spans="2:33" ht="15" customHeight="1">
      <c r="E49" s="25" t="s">
        <v>795</v>
      </c>
      <c r="F49" s="7" t="str">
        <f>Inputs!$D$7</f>
        <v>HUF</v>
      </c>
      <c r="K49" s="36">
        <f>Depreciation!K64</f>
        <v>0</v>
      </c>
      <c r="L49" s="36">
        <f>Depreciation!L64</f>
        <v>355932.70927488001</v>
      </c>
      <c r="M49" s="36">
        <f>Depreciation!M64</f>
        <v>729608.92972853757</v>
      </c>
      <c r="N49" s="36">
        <f>Depreciation!N64</f>
        <v>695301.85853475612</v>
      </c>
      <c r="O49" s="36">
        <f>Depreciation!O64</f>
        <v>660994.78734097455</v>
      </c>
      <c r="P49" s="36">
        <f>Depreciation!P64</f>
        <v>626687.71614719322</v>
      </c>
      <c r="Q49" s="36">
        <f>Depreciation!Q64</f>
        <v>592380.64495341177</v>
      </c>
      <c r="R49" s="36">
        <f>Depreciation!R64</f>
        <v>558073.57375963021</v>
      </c>
      <c r="S49" s="36">
        <f>Depreciation!S64</f>
        <v>523766.50256584876</v>
      </c>
      <c r="T49" s="36">
        <f>Depreciation!T64</f>
        <v>489459.43137206725</v>
      </c>
      <c r="U49" s="36">
        <f>Depreciation!U64</f>
        <v>455152.36017828574</v>
      </c>
      <c r="V49" s="36">
        <f>Depreciation!V64</f>
        <v>420845.28898450424</v>
      </c>
      <c r="W49" s="36">
        <f>Depreciation!W64</f>
        <v>386538.21779072273</v>
      </c>
      <c r="X49" s="36">
        <f>Depreciation!X64</f>
        <v>352231.14659694128</v>
      </c>
      <c r="Y49" s="36">
        <f>Depreciation!Y64</f>
        <v>317924.07540315978</v>
      </c>
      <c r="Z49" s="36">
        <f>Depreciation!Z64</f>
        <v>283617.00420937827</v>
      </c>
      <c r="AA49" s="36">
        <f>Depreciation!AA64</f>
        <v>249309.93301559673</v>
      </c>
      <c r="AB49" s="36">
        <f>Depreciation!AB64</f>
        <v>215002.86182181526</v>
      </c>
      <c r="AC49" s="36">
        <f>Depreciation!AC64</f>
        <v>198003.15062803368</v>
      </c>
      <c r="AD49" s="36">
        <f>Depreciation!AD64</f>
        <v>181003.43943425216</v>
      </c>
      <c r="AE49" s="36">
        <f>Depreciation!AE64</f>
        <v>164003.72824047066</v>
      </c>
      <c r="AF49" s="36">
        <f>Depreciation!AF64</f>
        <v>147004.01704668914</v>
      </c>
      <c r="AG49" s="36">
        <f>Depreciation!AG64</f>
        <v>130004.30585290768</v>
      </c>
    </row>
    <row r="50" spans="2:33" ht="15" customHeight="1">
      <c r="E50" s="112" t="s">
        <v>796</v>
      </c>
      <c r="F50" s="107" t="str">
        <f>Inputs!$D$7</f>
        <v>HUF</v>
      </c>
      <c r="G50" s="108"/>
      <c r="H50" s="108"/>
      <c r="I50" s="108"/>
      <c r="J50" s="108"/>
      <c r="K50" s="110">
        <f t="shared" ref="K50:AG50" si="12">K48+K49+K88</f>
        <v>0</v>
      </c>
      <c r="L50" s="110">
        <f t="shared" si="12"/>
        <v>355932.70927488001</v>
      </c>
      <c r="M50" s="110">
        <f t="shared" si="12"/>
        <v>729608.92972853757</v>
      </c>
      <c r="N50" s="110">
        <f t="shared" si="12"/>
        <v>727068.65729031595</v>
      </c>
      <c r="O50" s="110">
        <f t="shared" si="12"/>
        <v>726476.53887112613</v>
      </c>
      <c r="P50" s="110">
        <f t="shared" si="12"/>
        <v>727887.45616086212</v>
      </c>
      <c r="Q50" s="110">
        <f t="shared" si="12"/>
        <v>731357.82444294658</v>
      </c>
      <c r="R50" s="110">
        <f t="shared" si="12"/>
        <v>736945.63510443165</v>
      </c>
      <c r="S50" s="110">
        <f t="shared" si="12"/>
        <v>744710.49931496871</v>
      </c>
      <c r="T50" s="110">
        <f t="shared" si="12"/>
        <v>754713.69290651858</v>
      </c>
      <c r="U50" s="110">
        <f t="shared" si="12"/>
        <v>767018.20248654333</v>
      </c>
      <c r="V50" s="110">
        <f t="shared" si="12"/>
        <v>781688.77281830006</v>
      </c>
      <c r="W50" s="110">
        <f t="shared" si="12"/>
        <v>798791.95550276665</v>
      </c>
      <c r="X50" s="110">
        <f t="shared" si="12"/>
        <v>815758.06134264311</v>
      </c>
      <c r="Y50" s="110">
        <f t="shared" si="12"/>
        <v>831352.71693596465</v>
      </c>
      <c r="Z50" s="110">
        <f t="shared" si="12"/>
        <v>848969.90610064927</v>
      </c>
      <c r="AA50" s="110">
        <f t="shared" si="12"/>
        <v>868712.90800860233</v>
      </c>
      <c r="AB50" s="110">
        <f t="shared" si="12"/>
        <v>890677.29446110921</v>
      </c>
      <c r="AC50" s="110">
        <f t="shared" si="12"/>
        <v>969090.25592791813</v>
      </c>
      <c r="AD50" s="110">
        <f t="shared" si="12"/>
        <v>1050098.4368722301</v>
      </c>
      <c r="AE50" s="110">
        <f t="shared" si="12"/>
        <v>1133795.7840502462</v>
      </c>
      <c r="AF50" s="110">
        <f t="shared" si="12"/>
        <v>1220274.6494710871</v>
      </c>
      <c r="AG50" s="110">
        <f t="shared" si="12"/>
        <v>1309626.587788933</v>
      </c>
    </row>
    <row r="51" spans="2:33">
      <c r="K51" s="34"/>
      <c r="L51" s="34"/>
      <c r="M51" s="34"/>
      <c r="N51" s="34"/>
      <c r="O51" s="34"/>
      <c r="P51" s="34"/>
      <c r="Q51" s="34"/>
      <c r="R51" s="34"/>
      <c r="S51" s="34"/>
      <c r="T51" s="34"/>
      <c r="U51" s="34"/>
      <c r="V51" s="34"/>
      <c r="W51" s="34"/>
      <c r="X51" s="34"/>
      <c r="Y51" s="34"/>
      <c r="Z51" s="34"/>
      <c r="AA51" s="34"/>
      <c r="AB51" s="34"/>
      <c r="AC51" s="34"/>
      <c r="AD51" s="34"/>
      <c r="AE51" s="34"/>
      <c r="AF51" s="34"/>
      <c r="AG51" s="34"/>
    </row>
    <row r="52" spans="2:33" ht="15" customHeight="1">
      <c r="E52" s="11" t="s">
        <v>797</v>
      </c>
      <c r="F52" s="7" t="str">
        <f>Inputs!$D$7</f>
        <v>HUF</v>
      </c>
      <c r="K52" s="34"/>
      <c r="L52" s="34"/>
      <c r="M52" s="34"/>
      <c r="N52" s="34"/>
      <c r="O52" s="34"/>
      <c r="P52" s="34"/>
      <c r="Q52" s="34"/>
      <c r="R52" s="34"/>
      <c r="S52" s="34"/>
      <c r="T52" s="34"/>
      <c r="U52" s="34"/>
      <c r="V52" s="34"/>
      <c r="W52" s="34"/>
      <c r="X52" s="34"/>
      <c r="Y52" s="34"/>
      <c r="Z52" s="34"/>
      <c r="AA52" s="34"/>
      <c r="AB52" s="34"/>
      <c r="AC52" s="34"/>
      <c r="AD52" s="34"/>
      <c r="AE52" s="34"/>
      <c r="AF52" s="34"/>
      <c r="AG52" s="34"/>
    </row>
    <row r="53" spans="2:33" ht="15" customHeight="1">
      <c r="E53" s="25" t="s">
        <v>798</v>
      </c>
      <c r="F53" s="7" t="str">
        <f>Inputs!$D$7</f>
        <v>HUF</v>
      </c>
      <c r="K53" s="36">
        <f>Financing!K42</f>
        <v>0</v>
      </c>
      <c r="L53" s="36">
        <f>Financing!L42</f>
        <v>177080.949888</v>
      </c>
      <c r="M53" s="36">
        <f>Financing!M42</f>
        <v>357703.51877375995</v>
      </c>
      <c r="N53" s="36">
        <f>Financing!N42</f>
        <v>342335.58693069813</v>
      </c>
      <c r="O53" s="36">
        <f>Financing!O42</f>
        <v>326045.5791770526</v>
      </c>
      <c r="P53" s="36">
        <f>Financing!P42</f>
        <v>308778.17095818836</v>
      </c>
      <c r="Q53" s="36">
        <f>Financing!Q42</f>
        <v>290474.71824619226</v>
      </c>
      <c r="R53" s="36">
        <f>Financing!R42</f>
        <v>271073.05837147636</v>
      </c>
      <c r="S53" s="36">
        <f>Financing!S42</f>
        <v>250507.29890427753</v>
      </c>
      <c r="T53" s="36">
        <f>Financing!T42</f>
        <v>228707.59386904677</v>
      </c>
      <c r="U53" s="36">
        <f>Financing!U42</f>
        <v>205599.90653170217</v>
      </c>
      <c r="V53" s="36">
        <f>Financing!V42</f>
        <v>181105.75795411691</v>
      </c>
      <c r="W53" s="36">
        <f>Financing!W42</f>
        <v>155141.96046187653</v>
      </c>
      <c r="X53" s="36">
        <f>Financing!X42</f>
        <v>127620.33512010172</v>
      </c>
      <c r="Y53" s="36">
        <f>Financing!Y42</f>
        <v>98447.412257820411</v>
      </c>
      <c r="Z53" s="36">
        <f>Financing!Z42</f>
        <v>67524.11402380222</v>
      </c>
      <c r="AA53" s="36">
        <f>Financing!AA42</f>
        <v>34745.417895742947</v>
      </c>
      <c r="AB53" s="36">
        <f>Financing!AB42</f>
        <v>1.1641532182693481E-10</v>
      </c>
      <c r="AC53" s="36">
        <f>Financing!AC42</f>
        <v>0</v>
      </c>
      <c r="AD53" s="36">
        <f>Financing!AD42</f>
        <v>0</v>
      </c>
      <c r="AE53" s="36">
        <f>Financing!AE42</f>
        <v>0</v>
      </c>
      <c r="AF53" s="36">
        <f>Financing!AF42</f>
        <v>0</v>
      </c>
      <c r="AG53" s="36">
        <f>Financing!AG42</f>
        <v>0</v>
      </c>
    </row>
    <row r="54" spans="2:33" ht="15" customHeight="1">
      <c r="E54" s="25" t="s">
        <v>799</v>
      </c>
      <c r="F54" s="7" t="str">
        <f>Inputs!$D$7</f>
        <v>HUF</v>
      </c>
      <c r="K54" s="36">
        <f>K33-K21</f>
        <v>0</v>
      </c>
      <c r="L54" s="36">
        <f t="shared" ref="L54:AG54" si="13">K54+L33-L21</f>
        <v>106248.5699328</v>
      </c>
      <c r="M54" s="36">
        <f t="shared" si="13"/>
        <v>214622.111264256</v>
      </c>
      <c r="N54" s="36">
        <f t="shared" si="13"/>
        <v>204329.98990612154</v>
      </c>
      <c r="O54" s="36">
        <f t="shared" si="13"/>
        <v>194037.86854798708</v>
      </c>
      <c r="P54" s="36">
        <f t="shared" si="13"/>
        <v>183745.74718985261</v>
      </c>
      <c r="Q54" s="36">
        <f t="shared" si="13"/>
        <v>173453.62583171815</v>
      </c>
      <c r="R54" s="36">
        <f t="shared" si="13"/>
        <v>163161.50447358369</v>
      </c>
      <c r="S54" s="36">
        <f t="shared" si="13"/>
        <v>152869.38311544922</v>
      </c>
      <c r="T54" s="36">
        <f t="shared" si="13"/>
        <v>142577.26175731476</v>
      </c>
      <c r="U54" s="36">
        <f t="shared" si="13"/>
        <v>132285.14039918029</v>
      </c>
      <c r="V54" s="36">
        <f t="shared" si="13"/>
        <v>121993.01904104585</v>
      </c>
      <c r="W54" s="36">
        <f t="shared" si="13"/>
        <v>111700.8976829114</v>
      </c>
      <c r="X54" s="36">
        <f t="shared" si="13"/>
        <v>101408.77632477695</v>
      </c>
      <c r="Y54" s="36">
        <f t="shared" si="13"/>
        <v>91116.654966642498</v>
      </c>
      <c r="Z54" s="36">
        <f t="shared" si="13"/>
        <v>80824.533608508049</v>
      </c>
      <c r="AA54" s="36">
        <f t="shared" si="13"/>
        <v>70532.4122503736</v>
      </c>
      <c r="AB54" s="36">
        <f t="shared" si="13"/>
        <v>60240.290892239151</v>
      </c>
      <c r="AC54" s="36">
        <f t="shared" si="13"/>
        <v>55140.377534104678</v>
      </c>
      <c r="AD54" s="36">
        <f t="shared" si="13"/>
        <v>50040.464175970228</v>
      </c>
      <c r="AE54" s="36">
        <f t="shared" si="13"/>
        <v>44940.550817835778</v>
      </c>
      <c r="AF54" s="36">
        <f t="shared" si="13"/>
        <v>39840.637459701327</v>
      </c>
      <c r="AG54" s="36">
        <f t="shared" si="13"/>
        <v>34740.724101566884</v>
      </c>
    </row>
    <row r="55" spans="2:33" ht="15" customHeight="1">
      <c r="E55" s="25" t="s">
        <v>800</v>
      </c>
      <c r="F55" s="7" t="str">
        <f>Inputs!$D$7</f>
        <v>HUF</v>
      </c>
      <c r="K55" s="36">
        <f>K35</f>
        <v>0</v>
      </c>
      <c r="L55" s="36">
        <f t="shared" ref="L55:AG55" si="14">K55+L35</f>
        <v>72603.189454079984</v>
      </c>
      <c r="M55" s="36">
        <f t="shared" si="14"/>
        <v>157283.29969052156</v>
      </c>
      <c r="N55" s="36">
        <f t="shared" si="14"/>
        <v>157283.29969052156</v>
      </c>
      <c r="O55" s="36">
        <f t="shared" si="14"/>
        <v>157283.29969052156</v>
      </c>
      <c r="P55" s="36">
        <f t="shared" si="14"/>
        <v>157283.29969052156</v>
      </c>
      <c r="Q55" s="36">
        <f t="shared" si="14"/>
        <v>157283.29969052156</v>
      </c>
      <c r="R55" s="36">
        <f t="shared" si="14"/>
        <v>157283.29969052156</v>
      </c>
      <c r="S55" s="36">
        <f t="shared" si="14"/>
        <v>157283.29969052156</v>
      </c>
      <c r="T55" s="36">
        <f t="shared" si="14"/>
        <v>157283.29969052156</v>
      </c>
      <c r="U55" s="36">
        <f t="shared" si="14"/>
        <v>157283.29969052156</v>
      </c>
      <c r="V55" s="36">
        <f t="shared" si="14"/>
        <v>157283.29969052156</v>
      </c>
      <c r="W55" s="36">
        <f t="shared" si="14"/>
        <v>157283.29969052156</v>
      </c>
      <c r="X55" s="36">
        <f t="shared" si="14"/>
        <v>157283.29969052156</v>
      </c>
      <c r="Y55" s="36">
        <f t="shared" si="14"/>
        <v>157283.29969052156</v>
      </c>
      <c r="Z55" s="36">
        <f t="shared" si="14"/>
        <v>157283.29969052156</v>
      </c>
      <c r="AA55" s="36">
        <f t="shared" si="14"/>
        <v>157283.29969052156</v>
      </c>
      <c r="AB55" s="36">
        <f t="shared" si="14"/>
        <v>157283.29969052156</v>
      </c>
      <c r="AC55" s="36">
        <f t="shared" si="14"/>
        <v>157283.29969052156</v>
      </c>
      <c r="AD55" s="36">
        <f t="shared" si="14"/>
        <v>157283.29969052156</v>
      </c>
      <c r="AE55" s="36">
        <f t="shared" si="14"/>
        <v>157283.29969052156</v>
      </c>
      <c r="AF55" s="36">
        <f t="shared" si="14"/>
        <v>157283.29969052156</v>
      </c>
      <c r="AG55" s="36">
        <f t="shared" si="14"/>
        <v>157283.29969052156</v>
      </c>
    </row>
    <row r="56" spans="2:33" ht="15" customHeight="1">
      <c r="E56" s="25" t="s">
        <v>801</v>
      </c>
      <c r="F56" s="7" t="str">
        <f>Inputs!$D$7</f>
        <v>HUF</v>
      </c>
      <c r="K56" s="36">
        <f t="shared" ref="K56:AG56" si="15">K44</f>
        <v>0</v>
      </c>
      <c r="L56" s="36">
        <f t="shared" si="15"/>
        <v>0</v>
      </c>
      <c r="M56" s="36">
        <f t="shared" si="15"/>
        <v>0</v>
      </c>
      <c r="N56" s="36">
        <f t="shared" si="15"/>
        <v>13074.456435301225</v>
      </c>
      <c r="O56" s="36">
        <f t="shared" si="15"/>
        <v>31645.734947240773</v>
      </c>
      <c r="P56" s="36">
        <f t="shared" si="15"/>
        <v>55298.723350943008</v>
      </c>
      <c r="Q56" s="36">
        <f t="shared" si="15"/>
        <v>83728.226214220005</v>
      </c>
      <c r="R56" s="36">
        <f t="shared" si="15"/>
        <v>116718.19379889329</v>
      </c>
      <c r="S56" s="36">
        <f t="shared" si="15"/>
        <v>154125.16666852191</v>
      </c>
      <c r="T56" s="36">
        <f t="shared" si="15"/>
        <v>195865.09620193165</v>
      </c>
      <c r="U56" s="36">
        <f t="shared" si="15"/>
        <v>241902.86939771927</v>
      </c>
      <c r="V56" s="36">
        <f t="shared" si="15"/>
        <v>292244.0008829108</v>
      </c>
      <c r="W56" s="36">
        <f t="shared" si="15"/>
        <v>346928.06267341255</v>
      </c>
      <c r="X56" s="36">
        <f t="shared" si="15"/>
        <v>403385.41069921438</v>
      </c>
      <c r="Y56" s="36">
        <f t="shared" si="15"/>
        <v>460404.6341832527</v>
      </c>
      <c r="Z56" s="36">
        <f t="shared" si="15"/>
        <v>521422.3891578188</v>
      </c>
      <c r="AA56" s="36">
        <f t="shared" si="15"/>
        <v>586601.85280763684</v>
      </c>
      <c r="AB56" s="36">
        <f t="shared" si="15"/>
        <v>656113.82120004587</v>
      </c>
      <c r="AC56" s="36">
        <f t="shared" si="15"/>
        <v>740694.59505529748</v>
      </c>
      <c r="AD56" s="36">
        <f t="shared" si="15"/>
        <v>827963.0033834785</v>
      </c>
      <c r="AE56" s="36">
        <f t="shared" si="15"/>
        <v>917994.5099417048</v>
      </c>
      <c r="AF56" s="36">
        <f t="shared" si="15"/>
        <v>1010866.6803398289</v>
      </c>
      <c r="AG56" s="36">
        <f t="shared" si="15"/>
        <v>1106659.240112616</v>
      </c>
    </row>
    <row r="57" spans="2:33" ht="15" customHeight="1">
      <c r="E57" s="112" t="s">
        <v>802</v>
      </c>
      <c r="F57" s="107" t="str">
        <f>Inputs!$D$7</f>
        <v>HUF</v>
      </c>
      <c r="G57" s="108"/>
      <c r="H57" s="108"/>
      <c r="I57" s="108"/>
      <c r="J57" s="108"/>
      <c r="K57" s="110">
        <f t="shared" ref="K57:AG57" si="16">K53+K54+K55+K56+K98</f>
        <v>0</v>
      </c>
      <c r="L57" s="110">
        <f t="shared" si="16"/>
        <v>355932.70927488001</v>
      </c>
      <c r="M57" s="110">
        <f t="shared" si="16"/>
        <v>729608.92972853757</v>
      </c>
      <c r="N57" s="110">
        <f t="shared" si="16"/>
        <v>727068.65729031572</v>
      </c>
      <c r="O57" s="110">
        <f t="shared" si="16"/>
        <v>726476.53887112602</v>
      </c>
      <c r="P57" s="110">
        <f t="shared" si="16"/>
        <v>727887.456160862</v>
      </c>
      <c r="Q57" s="110">
        <f t="shared" si="16"/>
        <v>731357.82444294624</v>
      </c>
      <c r="R57" s="110">
        <f t="shared" si="16"/>
        <v>736945.63510443131</v>
      </c>
      <c r="S57" s="110">
        <f t="shared" si="16"/>
        <v>744710.49931496836</v>
      </c>
      <c r="T57" s="110">
        <f t="shared" si="16"/>
        <v>754713.69290651835</v>
      </c>
      <c r="U57" s="110">
        <f t="shared" si="16"/>
        <v>767018.20248654298</v>
      </c>
      <c r="V57" s="110">
        <f t="shared" si="16"/>
        <v>781688.77281829959</v>
      </c>
      <c r="W57" s="110">
        <f t="shared" si="16"/>
        <v>798791.95550276653</v>
      </c>
      <c r="X57" s="110">
        <f t="shared" si="16"/>
        <v>815758.06134264276</v>
      </c>
      <c r="Y57" s="110">
        <f t="shared" si="16"/>
        <v>831352.71693596442</v>
      </c>
      <c r="Z57" s="110">
        <f t="shared" si="16"/>
        <v>848969.9061006488</v>
      </c>
      <c r="AA57" s="110">
        <f t="shared" si="16"/>
        <v>868712.90800860198</v>
      </c>
      <c r="AB57" s="110">
        <f t="shared" si="16"/>
        <v>890677.29446110886</v>
      </c>
      <c r="AC57" s="110">
        <f t="shared" si="16"/>
        <v>969090.25592791778</v>
      </c>
      <c r="AD57" s="110">
        <f t="shared" si="16"/>
        <v>1050098.4368722297</v>
      </c>
      <c r="AE57" s="110">
        <f t="shared" si="16"/>
        <v>1133795.784050246</v>
      </c>
      <c r="AF57" s="110">
        <f t="shared" si="16"/>
        <v>1220274.6494710869</v>
      </c>
      <c r="AG57" s="110">
        <f t="shared" si="16"/>
        <v>1309626.5877889327</v>
      </c>
    </row>
    <row r="58" spans="2:33" ht="15" customHeight="1">
      <c r="E58" s="11" t="s">
        <v>803</v>
      </c>
      <c r="F58" s="7" t="str">
        <f>Inputs!$D$7</f>
        <v>HUF</v>
      </c>
      <c r="K58" s="36">
        <f t="shared" ref="K58:AG58" si="17">K50-K57</f>
        <v>0</v>
      </c>
      <c r="L58" s="36">
        <f t="shared" si="17"/>
        <v>0</v>
      </c>
      <c r="M58" s="36">
        <f t="shared" si="17"/>
        <v>0</v>
      </c>
      <c r="N58" s="36">
        <f t="shared" si="17"/>
        <v>0</v>
      </c>
      <c r="O58" s="36">
        <f t="shared" si="17"/>
        <v>0</v>
      </c>
      <c r="P58" s="36">
        <f t="shared" si="17"/>
        <v>0</v>
      </c>
      <c r="Q58" s="36">
        <f t="shared" si="17"/>
        <v>0</v>
      </c>
      <c r="R58" s="36">
        <f t="shared" si="17"/>
        <v>0</v>
      </c>
      <c r="S58" s="36">
        <f t="shared" si="17"/>
        <v>0</v>
      </c>
      <c r="T58" s="36">
        <f t="shared" si="17"/>
        <v>0</v>
      </c>
      <c r="U58" s="36">
        <f t="shared" si="17"/>
        <v>0</v>
      </c>
      <c r="V58" s="36">
        <f t="shared" si="17"/>
        <v>0</v>
      </c>
      <c r="W58" s="36">
        <f t="shared" si="17"/>
        <v>0</v>
      </c>
      <c r="X58" s="36">
        <f t="shared" si="17"/>
        <v>0</v>
      </c>
      <c r="Y58" s="36">
        <f t="shared" si="17"/>
        <v>0</v>
      </c>
      <c r="Z58" s="36">
        <f t="shared" si="17"/>
        <v>0</v>
      </c>
      <c r="AA58" s="36">
        <f t="shared" si="17"/>
        <v>0</v>
      </c>
      <c r="AB58" s="36">
        <f t="shared" si="17"/>
        <v>0</v>
      </c>
      <c r="AC58" s="36">
        <f t="shared" si="17"/>
        <v>0</v>
      </c>
      <c r="AD58" s="36">
        <f t="shared" si="17"/>
        <v>0</v>
      </c>
      <c r="AE58" s="36">
        <f t="shared" si="17"/>
        <v>0</v>
      </c>
      <c r="AF58" s="36">
        <f t="shared" si="17"/>
        <v>0</v>
      </c>
      <c r="AG58" s="36">
        <f t="shared" si="17"/>
        <v>0</v>
      </c>
    </row>
    <row r="59" spans="2:33">
      <c r="K59" s="34"/>
      <c r="L59" s="34"/>
      <c r="M59" s="34"/>
      <c r="N59" s="34"/>
      <c r="O59" s="34"/>
      <c r="P59" s="34"/>
      <c r="Q59" s="34"/>
      <c r="R59" s="34"/>
      <c r="S59" s="34"/>
      <c r="T59" s="34"/>
      <c r="U59" s="34"/>
      <c r="V59" s="34"/>
      <c r="W59" s="34"/>
      <c r="X59" s="34"/>
      <c r="Y59" s="34"/>
      <c r="Z59" s="34"/>
      <c r="AA59" s="34"/>
      <c r="AB59" s="34"/>
      <c r="AC59" s="34"/>
      <c r="AD59" s="34"/>
      <c r="AE59" s="34"/>
      <c r="AF59" s="34"/>
      <c r="AG59" s="34"/>
    </row>
    <row r="60" spans="2:33" ht="15" customHeight="1">
      <c r="B60" s="40"/>
      <c r="C60" s="14" t="s">
        <v>804</v>
      </c>
      <c r="D60" s="40"/>
      <c r="E60" s="40"/>
      <c r="F60" s="40"/>
      <c r="G60" s="40"/>
      <c r="H60" s="40"/>
      <c r="I60" s="40"/>
      <c r="J60" s="40"/>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row>
    <row r="61" spans="2:33">
      <c r="K61" s="34"/>
      <c r="L61" s="34"/>
      <c r="M61" s="34"/>
      <c r="N61" s="34"/>
      <c r="O61" s="34"/>
      <c r="P61" s="34"/>
      <c r="Q61" s="34"/>
      <c r="R61" s="34"/>
      <c r="S61" s="34"/>
      <c r="T61" s="34"/>
      <c r="U61" s="34"/>
      <c r="V61" s="34"/>
      <c r="W61" s="34"/>
      <c r="X61" s="34"/>
      <c r="Y61" s="34"/>
      <c r="Z61" s="34"/>
      <c r="AA61" s="34"/>
      <c r="AB61" s="34"/>
      <c r="AC61" s="34"/>
      <c r="AD61" s="34"/>
      <c r="AE61" s="34"/>
      <c r="AF61" s="34"/>
      <c r="AG61" s="34"/>
    </row>
    <row r="62" spans="2:33" ht="15" customHeight="1">
      <c r="E62" s="25" t="s">
        <v>805</v>
      </c>
      <c r="F62" s="7" t="s">
        <v>115</v>
      </c>
      <c r="G62" s="282">
        <f>Inputs!$I$149</f>
        <v>0.12906875000000001</v>
      </c>
      <c r="K62" s="34"/>
      <c r="L62" s="34"/>
      <c r="M62" s="34"/>
      <c r="N62" s="34"/>
      <c r="O62" s="34"/>
      <c r="P62" s="34"/>
      <c r="Q62" s="34"/>
      <c r="R62" s="34"/>
      <c r="S62" s="34"/>
      <c r="T62" s="34"/>
      <c r="U62" s="34"/>
      <c r="V62" s="34"/>
      <c r="W62" s="34"/>
      <c r="X62" s="34"/>
      <c r="Y62" s="34"/>
      <c r="Z62" s="34"/>
      <c r="AA62" s="34"/>
      <c r="AB62" s="34"/>
      <c r="AC62" s="34"/>
      <c r="AD62" s="34"/>
      <c r="AE62" s="34"/>
      <c r="AF62" s="34"/>
      <c r="AG62" s="34"/>
    </row>
    <row r="63" spans="2:33" ht="15" customHeight="1">
      <c r="E63" s="25" t="s">
        <v>411</v>
      </c>
      <c r="F63" s="7" t="s">
        <v>115</v>
      </c>
      <c r="G63" s="282">
        <f>Inputs!$I$150</f>
        <v>4.5500000000000006E-2</v>
      </c>
      <c r="K63" s="34"/>
      <c r="L63" s="34"/>
      <c r="M63" s="34"/>
      <c r="N63" s="34"/>
      <c r="O63" s="34"/>
      <c r="P63" s="34"/>
      <c r="Q63" s="34"/>
      <c r="R63" s="34"/>
      <c r="S63" s="34"/>
      <c r="T63" s="34"/>
      <c r="U63" s="34"/>
      <c r="V63" s="34"/>
      <c r="W63" s="34"/>
      <c r="X63" s="34"/>
      <c r="Y63" s="34"/>
      <c r="Z63" s="34"/>
      <c r="AA63" s="34"/>
      <c r="AB63" s="34"/>
      <c r="AC63" s="34"/>
      <c r="AD63" s="34"/>
      <c r="AE63" s="34"/>
      <c r="AF63" s="34"/>
      <c r="AG63" s="34"/>
    </row>
    <row r="64" spans="2:33" ht="15" customHeight="1">
      <c r="E64" s="11" t="s">
        <v>41</v>
      </c>
      <c r="F64" s="7" t="s">
        <v>115</v>
      </c>
      <c r="G64" s="283">
        <f>Inputs!$I$151</f>
        <v>6.937678571428571E-2</v>
      </c>
      <c r="K64" s="34"/>
      <c r="L64" s="34"/>
      <c r="M64" s="34"/>
      <c r="N64" s="34"/>
      <c r="O64" s="34"/>
      <c r="P64" s="34"/>
      <c r="Q64" s="34"/>
      <c r="R64" s="34"/>
      <c r="S64" s="34"/>
      <c r="T64" s="34"/>
      <c r="U64" s="34"/>
      <c r="V64" s="34"/>
      <c r="W64" s="34"/>
      <c r="X64" s="34"/>
      <c r="Y64" s="34"/>
      <c r="Z64" s="34"/>
      <c r="AA64" s="34"/>
      <c r="AB64" s="34"/>
      <c r="AC64" s="34"/>
      <c r="AD64" s="34"/>
      <c r="AE64" s="34"/>
      <c r="AF64" s="34"/>
      <c r="AG64" s="34"/>
    </row>
    <row r="65" spans="5:34">
      <c r="K65" s="34"/>
      <c r="L65" s="34"/>
      <c r="M65" s="34"/>
      <c r="N65" s="34"/>
      <c r="O65" s="34"/>
      <c r="P65" s="34"/>
      <c r="Q65" s="34"/>
      <c r="R65" s="34"/>
      <c r="S65" s="34"/>
      <c r="T65" s="34"/>
      <c r="U65" s="34"/>
      <c r="V65" s="34"/>
      <c r="W65" s="34"/>
      <c r="X65" s="34"/>
      <c r="Y65" s="34"/>
      <c r="Z65" s="34"/>
      <c r="AA65" s="34"/>
      <c r="AB65" s="34"/>
      <c r="AC65" s="34"/>
      <c r="AD65" s="34"/>
      <c r="AE65" s="34"/>
      <c r="AF65" s="34"/>
      <c r="AG65" s="34"/>
    </row>
    <row r="66" spans="5:34" ht="15" customHeight="1">
      <c r="E66" s="25" t="s">
        <v>83</v>
      </c>
      <c r="K66" s="36">
        <f t="shared" ref="K66:AG66" si="18">K19</f>
        <v>0</v>
      </c>
      <c r="L66" s="36">
        <f t="shared" si="18"/>
        <v>0</v>
      </c>
      <c r="M66" s="36">
        <f t="shared" si="18"/>
        <v>0</v>
      </c>
      <c r="N66" s="36">
        <f t="shared" si="18"/>
        <v>68596.941725047218</v>
      </c>
      <c r="O66" s="36">
        <f t="shared" si="18"/>
        <v>70545.095744079095</v>
      </c>
      <c r="P66" s="36">
        <f t="shared" si="18"/>
        <v>72548.131453004884</v>
      </c>
      <c r="Q66" s="36">
        <f t="shared" si="18"/>
        <v>74607.582445353226</v>
      </c>
      <c r="R66" s="36">
        <f t="shared" si="18"/>
        <v>76725.024824754102</v>
      </c>
      <c r="S66" s="36">
        <f t="shared" si="18"/>
        <v>78902.078373805969</v>
      </c>
      <c r="T66" s="36">
        <f t="shared" si="18"/>
        <v>81140.407754818749</v>
      </c>
      <c r="U66" s="36">
        <f t="shared" si="18"/>
        <v>83441.723743293682</v>
      </c>
      <c r="V66" s="36">
        <f t="shared" si="18"/>
        <v>85807.784495025597</v>
      </c>
      <c r="W66" s="36">
        <f t="shared" si="18"/>
        <v>88240.396847735639</v>
      </c>
      <c r="X66" s="36">
        <f t="shared" si="18"/>
        <v>90741.417658167891</v>
      </c>
      <c r="Y66" s="36">
        <f t="shared" si="18"/>
        <v>93312.755175607221</v>
      </c>
      <c r="Z66" s="36">
        <f t="shared" si="18"/>
        <v>95956.370452801973</v>
      </c>
      <c r="AA66" s="36">
        <f t="shared" si="18"/>
        <v>98674.278795301463</v>
      </c>
      <c r="AB66" s="36">
        <f t="shared" si="18"/>
        <v>101468.55125024536</v>
      </c>
      <c r="AC66" s="36">
        <f t="shared" si="18"/>
        <v>104341.31613566855</v>
      </c>
      <c r="AD66" s="36">
        <f t="shared" si="18"/>
        <v>107294.76061141508</v>
      </c>
      <c r="AE66" s="36">
        <f t="shared" si="18"/>
        <v>110331.13229278354</v>
      </c>
      <c r="AF66" s="36">
        <f t="shared" si="18"/>
        <v>113452.74090805593</v>
      </c>
      <c r="AG66" s="36">
        <f t="shared" si="18"/>
        <v>116661.96000109207</v>
      </c>
    </row>
    <row r="67" spans="5:34" ht="15" customHeight="1">
      <c r="E67" s="25" t="s">
        <v>806</v>
      </c>
      <c r="K67" s="36">
        <f>-Inputs!$I$117*MAX(0,K19+K20)</f>
        <v>0</v>
      </c>
      <c r="L67" s="36">
        <f>-Inputs!$I$117*MAX(0,L19+L20)</f>
        <v>0</v>
      </c>
      <c r="M67" s="36">
        <f>-Inputs!$I$117*MAX(0,M19+M20)</f>
        <v>0</v>
      </c>
      <c r="N67" s="36">
        <f>-Inputs!$I$117*MAX(0,N19+N20)</f>
        <v>-3086.088347813914</v>
      </c>
      <c r="O67" s="36">
        <f>-Inputs!$I$117*MAX(0,O19+O20)</f>
        <v>-3261.4222095267828</v>
      </c>
      <c r="P67" s="36">
        <f>-Inputs!$I$117*MAX(0,P19+P20)</f>
        <v>-3441.6954233301039</v>
      </c>
      <c r="Q67" s="36">
        <f>-Inputs!$I$117*MAX(0,Q19+Q20)</f>
        <v>-3627.0460126414546</v>
      </c>
      <c r="R67" s="36">
        <f>-Inputs!$I$117*MAX(0,R19+R20)</f>
        <v>-3817.6158267875335</v>
      </c>
      <c r="S67" s="36">
        <f>-Inputs!$I$117*MAX(0,S19+S20)</f>
        <v>-4013.5506462022013</v>
      </c>
      <c r="T67" s="36">
        <f>-Inputs!$I$117*MAX(0,T19+T20)</f>
        <v>-4215.0002904933517</v>
      </c>
      <c r="U67" s="36">
        <f>-Inputs!$I$117*MAX(0,U19+U20)</f>
        <v>-4422.1187294560959</v>
      </c>
      <c r="V67" s="36">
        <f>-Inputs!$I$117*MAX(0,V19+V20)</f>
        <v>-4635.0641971119676</v>
      </c>
      <c r="W67" s="36">
        <f>-Inputs!$I$117*MAX(0,W19+W20)</f>
        <v>-4853.9993088558722</v>
      </c>
      <c r="X67" s="36">
        <f>-Inputs!$I$117*MAX(0,X19+X20)</f>
        <v>-5079.0911817947745</v>
      </c>
      <c r="Y67" s="36">
        <f>-Inputs!$I$117*MAX(0,Y19+Y20)</f>
        <v>-5310.5115583643137</v>
      </c>
      <c r="Z67" s="36">
        <f>-Inputs!$I$117*MAX(0,Z19+Z20)</f>
        <v>-5548.436933311842</v>
      </c>
      <c r="AA67" s="36">
        <f>-Inputs!$I$117*MAX(0,AA19+AA20)</f>
        <v>-5793.0486841367956</v>
      </c>
      <c r="AB67" s="36">
        <f>-Inputs!$I$117*MAX(0,AB19+AB20)</f>
        <v>-6044.5332050817469</v>
      </c>
      <c r="AC67" s="36">
        <f>-Inputs!$I$117*MAX(0,AC19+AC20)</f>
        <v>-7860.7444447698281</v>
      </c>
      <c r="AD67" s="36">
        <f>-Inputs!$I$117*MAX(0,AD19+AD20)</f>
        <v>-8126.554447587022</v>
      </c>
      <c r="AE67" s="36">
        <f>-Inputs!$I$117*MAX(0,AE19+AE20)</f>
        <v>-8399.8278989101836</v>
      </c>
      <c r="AF67" s="36">
        <f>-Inputs!$I$117*MAX(0,AF19+AF20)</f>
        <v>-8680.7726742846971</v>
      </c>
      <c r="AG67" s="36">
        <f>-Inputs!$I$117*MAX(0,AG19+AG20)</f>
        <v>-8969.6023926579528</v>
      </c>
    </row>
    <row r="68" spans="5:34" ht="15" customHeight="1">
      <c r="E68" s="25" t="s">
        <v>780</v>
      </c>
      <c r="K68" s="36">
        <f>-Construction!K58</f>
        <v>0</v>
      </c>
      <c r="L68" s="36">
        <f>-Construction!L58</f>
        <v>-354161.89977600001</v>
      </c>
      <c r="M68" s="36">
        <f>-Construction!M58</f>
        <v>-361245.13777151995</v>
      </c>
      <c r="N68" s="36">
        <f>-Construction!N58</f>
        <v>0</v>
      </c>
      <c r="O68" s="36">
        <f>-Construction!O58</f>
        <v>0</v>
      </c>
      <c r="P68" s="36">
        <f>-Construction!P58</f>
        <v>0</v>
      </c>
      <c r="Q68" s="36">
        <f>-Construction!Q58</f>
        <v>0</v>
      </c>
      <c r="R68" s="36">
        <f>-Construction!R58</f>
        <v>0</v>
      </c>
      <c r="S68" s="36">
        <f>-Construction!S58</f>
        <v>0</v>
      </c>
      <c r="T68" s="36">
        <f>-Construction!T58</f>
        <v>0</v>
      </c>
      <c r="U68" s="36">
        <f>-Construction!U58</f>
        <v>0</v>
      </c>
      <c r="V68" s="36">
        <f>-Construction!V58</f>
        <v>0</v>
      </c>
      <c r="W68" s="36">
        <f>-Construction!W58</f>
        <v>0</v>
      </c>
      <c r="X68" s="36">
        <f>-Construction!X58</f>
        <v>0</v>
      </c>
      <c r="Y68" s="36">
        <f>-Construction!Y58</f>
        <v>0</v>
      </c>
      <c r="Z68" s="36">
        <f>-Construction!Z58</f>
        <v>0</v>
      </c>
      <c r="AA68" s="36">
        <f>-Construction!AA58</f>
        <v>0</v>
      </c>
      <c r="AB68" s="36">
        <f>-Construction!AB58</f>
        <v>0</v>
      </c>
      <c r="AC68" s="36">
        <f>-Construction!AC58</f>
        <v>0</v>
      </c>
      <c r="AD68" s="36">
        <f>-Construction!AD58</f>
        <v>0</v>
      </c>
      <c r="AE68" s="36">
        <f>-Construction!AE58</f>
        <v>0</v>
      </c>
      <c r="AF68" s="36">
        <f>-Construction!AF58</f>
        <v>0</v>
      </c>
      <c r="AG68" s="36">
        <f>-Construction!AG58</f>
        <v>0</v>
      </c>
    </row>
    <row r="69" spans="5:34" ht="15" customHeight="1">
      <c r="E69" s="112" t="s">
        <v>807</v>
      </c>
      <c r="F69" s="108"/>
      <c r="G69" s="108"/>
      <c r="H69" s="108"/>
      <c r="I69" s="108"/>
      <c r="J69" s="108"/>
      <c r="K69" s="110">
        <f t="shared" ref="K69:AG69" si="19">K66+K67+K68</f>
        <v>0</v>
      </c>
      <c r="L69" s="110">
        <f t="shared" si="19"/>
        <v>-354161.89977600001</v>
      </c>
      <c r="M69" s="110">
        <f t="shared" si="19"/>
        <v>-361245.13777151995</v>
      </c>
      <c r="N69" s="110">
        <f t="shared" si="19"/>
        <v>65510.853377233303</v>
      </c>
      <c r="O69" s="110">
        <f t="shared" si="19"/>
        <v>67283.673534552319</v>
      </c>
      <c r="P69" s="110">
        <f t="shared" si="19"/>
        <v>69106.436029674776</v>
      </c>
      <c r="Q69" s="110">
        <f t="shared" si="19"/>
        <v>70980.536432711771</v>
      </c>
      <c r="R69" s="110">
        <f t="shared" si="19"/>
        <v>72907.408997966573</v>
      </c>
      <c r="S69" s="110">
        <f t="shared" si="19"/>
        <v>74888.527727603767</v>
      </c>
      <c r="T69" s="110">
        <f t="shared" si="19"/>
        <v>76925.407464325399</v>
      </c>
      <c r="U69" s="110">
        <f t="shared" si="19"/>
        <v>79019.605013837587</v>
      </c>
      <c r="V69" s="110">
        <f t="shared" si="19"/>
        <v>81172.720297913635</v>
      </c>
      <c r="W69" s="110">
        <f t="shared" si="19"/>
        <v>83386.39753887977</v>
      </c>
      <c r="X69" s="110">
        <f t="shared" si="19"/>
        <v>85662.326476373113</v>
      </c>
      <c r="Y69" s="110">
        <f t="shared" si="19"/>
        <v>88002.243617242901</v>
      </c>
      <c r="Z69" s="110">
        <f t="shared" si="19"/>
        <v>90407.933519490136</v>
      </c>
      <c r="AA69" s="110">
        <f t="shared" si="19"/>
        <v>92881.230111164667</v>
      </c>
      <c r="AB69" s="110">
        <f t="shared" si="19"/>
        <v>95424.018045163612</v>
      </c>
      <c r="AC69" s="110">
        <f t="shared" si="19"/>
        <v>96480.571690898723</v>
      </c>
      <c r="AD69" s="110">
        <f t="shared" si="19"/>
        <v>99168.206163828057</v>
      </c>
      <c r="AE69" s="110">
        <f t="shared" si="19"/>
        <v>101931.30439387336</v>
      </c>
      <c r="AF69" s="110">
        <f t="shared" si="19"/>
        <v>104771.96823377123</v>
      </c>
      <c r="AG69" s="110">
        <f t="shared" si="19"/>
        <v>107692.35760843412</v>
      </c>
    </row>
    <row r="70" spans="5:34" ht="15" customHeight="1">
      <c r="E70" s="25" t="s">
        <v>781</v>
      </c>
      <c r="K70" s="36">
        <f>Financing!K71</f>
        <v>0</v>
      </c>
      <c r="L70" s="36">
        <f>Financing!L71</f>
        <v>106248.5699328</v>
      </c>
      <c r="M70" s="36">
        <f>Financing!M71</f>
        <v>108373.54133145598</v>
      </c>
      <c r="N70" s="36">
        <f>Financing!N71</f>
        <v>0</v>
      </c>
      <c r="O70" s="36">
        <f>Financing!O71</f>
        <v>0</v>
      </c>
      <c r="P70" s="36">
        <f>Financing!P71</f>
        <v>0</v>
      </c>
      <c r="Q70" s="36">
        <f>Financing!Q71</f>
        <v>0</v>
      </c>
      <c r="R70" s="36">
        <f>Financing!R71</f>
        <v>0</v>
      </c>
      <c r="S70" s="36">
        <f>Financing!S71</f>
        <v>0</v>
      </c>
      <c r="T70" s="36">
        <f>Financing!T71</f>
        <v>0</v>
      </c>
      <c r="U70" s="36">
        <f>Financing!U71</f>
        <v>0</v>
      </c>
      <c r="V70" s="36">
        <f>Financing!V71</f>
        <v>0</v>
      </c>
      <c r="W70" s="36">
        <f>Financing!W71</f>
        <v>0</v>
      </c>
      <c r="X70" s="36">
        <f>Financing!X71</f>
        <v>0</v>
      </c>
      <c r="Y70" s="36">
        <f>Financing!Y71</f>
        <v>0</v>
      </c>
      <c r="Z70" s="36">
        <f>Financing!Z71</f>
        <v>0</v>
      </c>
      <c r="AA70" s="36">
        <f>Financing!AA71</f>
        <v>0</v>
      </c>
      <c r="AB70" s="36">
        <f>Financing!AB71</f>
        <v>0</v>
      </c>
      <c r="AC70" s="36">
        <f>Financing!AC71</f>
        <v>0</v>
      </c>
      <c r="AD70" s="36">
        <f>Financing!AD71</f>
        <v>0</v>
      </c>
      <c r="AE70" s="36">
        <f>Financing!AE71</f>
        <v>0</v>
      </c>
      <c r="AF70" s="36">
        <f>Financing!AF71</f>
        <v>0</v>
      </c>
      <c r="AG70" s="36">
        <f>Financing!AG71</f>
        <v>0</v>
      </c>
    </row>
    <row r="71" spans="5:34" ht="15" customHeight="1">
      <c r="E71" s="112" t="s">
        <v>808</v>
      </c>
      <c r="F71" s="108"/>
      <c r="G71" s="108"/>
      <c r="H71" s="108"/>
      <c r="I71" s="108"/>
      <c r="J71" s="108"/>
      <c r="K71" s="110">
        <f t="shared" ref="K71:AG71" si="20">K69+K70</f>
        <v>0</v>
      </c>
      <c r="L71" s="110">
        <f t="shared" si="20"/>
        <v>-247913.32984319999</v>
      </c>
      <c r="M71" s="110">
        <f t="shared" si="20"/>
        <v>-252871.59644006396</v>
      </c>
      <c r="N71" s="110">
        <f t="shared" si="20"/>
        <v>65510.853377233303</v>
      </c>
      <c r="O71" s="110">
        <f t="shared" si="20"/>
        <v>67283.673534552319</v>
      </c>
      <c r="P71" s="110">
        <f t="shared" si="20"/>
        <v>69106.436029674776</v>
      </c>
      <c r="Q71" s="110">
        <f t="shared" si="20"/>
        <v>70980.536432711771</v>
      </c>
      <c r="R71" s="110">
        <f t="shared" si="20"/>
        <v>72907.408997966573</v>
      </c>
      <c r="S71" s="110">
        <f t="shared" si="20"/>
        <v>74888.527727603767</v>
      </c>
      <c r="T71" s="110">
        <f t="shared" si="20"/>
        <v>76925.407464325399</v>
      </c>
      <c r="U71" s="110">
        <f t="shared" si="20"/>
        <v>79019.605013837587</v>
      </c>
      <c r="V71" s="110">
        <f t="shared" si="20"/>
        <v>81172.720297913635</v>
      </c>
      <c r="W71" s="110">
        <f t="shared" si="20"/>
        <v>83386.39753887977</v>
      </c>
      <c r="X71" s="110">
        <f t="shared" si="20"/>
        <v>85662.326476373113</v>
      </c>
      <c r="Y71" s="110">
        <f t="shared" si="20"/>
        <v>88002.243617242901</v>
      </c>
      <c r="Z71" s="110">
        <f t="shared" si="20"/>
        <v>90407.933519490136</v>
      </c>
      <c r="AA71" s="110">
        <f t="shared" si="20"/>
        <v>92881.230111164667</v>
      </c>
      <c r="AB71" s="110">
        <f t="shared" si="20"/>
        <v>95424.018045163612</v>
      </c>
      <c r="AC71" s="110">
        <f t="shared" si="20"/>
        <v>96480.571690898723</v>
      </c>
      <c r="AD71" s="110">
        <f t="shared" si="20"/>
        <v>99168.206163828057</v>
      </c>
      <c r="AE71" s="110">
        <f t="shared" si="20"/>
        <v>101931.30439387336</v>
      </c>
      <c r="AF71" s="110">
        <f t="shared" si="20"/>
        <v>104771.96823377123</v>
      </c>
      <c r="AG71" s="110">
        <f t="shared" si="20"/>
        <v>107692.35760843412</v>
      </c>
    </row>
    <row r="72" spans="5:34" ht="15" customHeight="1">
      <c r="E72" s="25" t="s">
        <v>809</v>
      </c>
      <c r="K72" s="36">
        <f>K71</f>
        <v>0</v>
      </c>
      <c r="L72" s="36">
        <f t="shared" ref="L72:AG72" si="21">K72+L71</f>
        <v>-247913.32984319999</v>
      </c>
      <c r="M72" s="36">
        <f t="shared" si="21"/>
        <v>-500784.92628326395</v>
      </c>
      <c r="N72" s="36">
        <f t="shared" si="21"/>
        <v>-435274.07290603063</v>
      </c>
      <c r="O72" s="36">
        <f t="shared" si="21"/>
        <v>-367990.3993714783</v>
      </c>
      <c r="P72" s="36">
        <f t="shared" si="21"/>
        <v>-298883.96334180352</v>
      </c>
      <c r="Q72" s="36">
        <f t="shared" si="21"/>
        <v>-227903.42690909177</v>
      </c>
      <c r="R72" s="36">
        <f t="shared" si="21"/>
        <v>-154996.01791112521</v>
      </c>
      <c r="S72" s="36">
        <f t="shared" si="21"/>
        <v>-80107.49018352144</v>
      </c>
      <c r="T72" s="36">
        <f t="shared" si="21"/>
        <v>-3182.0827191960416</v>
      </c>
      <c r="U72" s="36">
        <f t="shared" si="21"/>
        <v>75837.522294641545</v>
      </c>
      <c r="V72" s="36">
        <f t="shared" si="21"/>
        <v>157010.24259255518</v>
      </c>
      <c r="W72" s="36">
        <f t="shared" si="21"/>
        <v>240396.64013143495</v>
      </c>
      <c r="X72" s="36">
        <f t="shared" si="21"/>
        <v>326058.96660780808</v>
      </c>
      <c r="Y72" s="36">
        <f t="shared" si="21"/>
        <v>414061.21022505098</v>
      </c>
      <c r="Z72" s="36">
        <f t="shared" si="21"/>
        <v>504469.1437445411</v>
      </c>
      <c r="AA72" s="36">
        <f t="shared" si="21"/>
        <v>597350.37385570572</v>
      </c>
      <c r="AB72" s="36">
        <f t="shared" si="21"/>
        <v>692774.39190086932</v>
      </c>
      <c r="AC72" s="36">
        <f t="shared" si="21"/>
        <v>789254.96359176806</v>
      </c>
      <c r="AD72" s="36">
        <f t="shared" si="21"/>
        <v>888423.16975559609</v>
      </c>
      <c r="AE72" s="36">
        <f t="shared" si="21"/>
        <v>990354.4741494694</v>
      </c>
      <c r="AF72" s="36">
        <f t="shared" si="21"/>
        <v>1095126.4423832407</v>
      </c>
      <c r="AG72" s="36">
        <f t="shared" si="21"/>
        <v>1202818.7999916747</v>
      </c>
    </row>
    <row r="73" spans="5:34">
      <c r="K73" s="34"/>
      <c r="L73" s="34"/>
      <c r="M73" s="34"/>
      <c r="N73" s="34"/>
      <c r="O73" s="34"/>
      <c r="P73" s="34"/>
      <c r="Q73" s="34"/>
      <c r="R73" s="34"/>
      <c r="S73" s="34"/>
      <c r="T73" s="34"/>
      <c r="U73" s="34"/>
      <c r="V73" s="34"/>
      <c r="W73" s="34"/>
      <c r="X73" s="34"/>
      <c r="Y73" s="34"/>
      <c r="Z73" s="34"/>
      <c r="AA73" s="34"/>
      <c r="AB73" s="34"/>
      <c r="AC73" s="34"/>
      <c r="AD73" s="34"/>
      <c r="AE73" s="34"/>
      <c r="AF73" s="34"/>
      <c r="AG73" s="34"/>
    </row>
    <row r="74" spans="5:34" ht="15" customHeight="1">
      <c r="E74" s="11" t="s">
        <v>31</v>
      </c>
      <c r="F74" s="7" t="str">
        <f>Inputs!$D$7</f>
        <v>HUF</v>
      </c>
      <c r="G74" s="284">
        <f>XNPV($G$64,K71:AG71,K4:AG4)+IF(Inputs!$I$187="Yes",AG84/(1+$G$64)^((AG4-K4)/365),0)</f>
        <v>314796.07598522952</v>
      </c>
      <c r="K74" s="34"/>
      <c r="L74" s="34"/>
      <c r="M74" s="34"/>
      <c r="N74" s="34"/>
      <c r="O74" s="34"/>
      <c r="P74" s="34"/>
      <c r="Q74" s="34"/>
      <c r="R74" s="34"/>
      <c r="S74" s="34"/>
      <c r="T74" s="34"/>
      <c r="U74" s="34"/>
      <c r="V74" s="34"/>
      <c r="W74" s="34"/>
      <c r="X74" s="34"/>
      <c r="Y74" s="34"/>
      <c r="Z74" s="34"/>
      <c r="AA74" s="34"/>
      <c r="AB74" s="34"/>
      <c r="AC74" s="34"/>
      <c r="AD74" s="34"/>
      <c r="AE74" s="34"/>
      <c r="AF74" s="34"/>
      <c r="AG74" s="34"/>
    </row>
    <row r="75" spans="5:34" ht="15" customHeight="1">
      <c r="E75" s="25" t="s">
        <v>38</v>
      </c>
      <c r="F75" s="7" t="s">
        <v>115</v>
      </c>
      <c r="G75" s="282">
        <f>IFERROR(XIRR(L69:AG69,L4:AG4,10%),"n/a")</f>
        <v>8.6029377579689023E-2</v>
      </c>
      <c r="H75" s="321"/>
      <c r="K75" s="34"/>
      <c r="L75" s="34"/>
      <c r="M75" s="34"/>
      <c r="N75" s="34"/>
      <c r="O75" s="34"/>
      <c r="P75" s="34"/>
      <c r="Q75" s="34"/>
      <c r="R75" s="34"/>
      <c r="S75" s="34"/>
      <c r="T75" s="34"/>
      <c r="U75" s="34"/>
      <c r="V75" s="34"/>
      <c r="W75" s="34"/>
      <c r="X75" s="34"/>
      <c r="Y75" s="34"/>
      <c r="Z75" s="34"/>
      <c r="AA75" s="34"/>
      <c r="AB75" s="34"/>
      <c r="AC75" s="34"/>
      <c r="AD75" s="34"/>
      <c r="AE75" s="34"/>
      <c r="AF75" s="34"/>
      <c r="AG75" s="34"/>
    </row>
    <row r="76" spans="5:34" ht="15" customHeight="1">
      <c r="E76" s="25" t="s">
        <v>35</v>
      </c>
      <c r="F76" s="7" t="s">
        <v>115</v>
      </c>
      <c r="G76" s="282">
        <f>IFERROR(XIRR(L71:AG71,L4:AG4,10%),"n/a")</f>
        <v>0.13222178816795346</v>
      </c>
      <c r="K76" s="34"/>
      <c r="L76" s="34"/>
      <c r="M76" s="34"/>
      <c r="N76" s="34"/>
      <c r="O76" s="34"/>
      <c r="P76" s="34"/>
      <c r="Q76" s="34"/>
      <c r="R76" s="34"/>
      <c r="S76" s="34"/>
      <c r="T76" s="34"/>
      <c r="U76" s="34"/>
      <c r="V76" s="34"/>
      <c r="W76" s="34"/>
      <c r="X76" s="34"/>
      <c r="Y76" s="34"/>
      <c r="Z76" s="34"/>
      <c r="AA76" s="34"/>
      <c r="AB76" s="34"/>
      <c r="AC76" s="34"/>
      <c r="AD76" s="34"/>
      <c r="AE76" s="34"/>
      <c r="AF76" s="34"/>
      <c r="AG76" s="34"/>
    </row>
    <row r="77" spans="5:34" ht="15" customHeight="1">
      <c r="E77" s="25" t="s">
        <v>810</v>
      </c>
      <c r="F77" s="7" t="s">
        <v>274</v>
      </c>
      <c r="G77" s="285">
        <f>IFERROR(COUNTIF(K72:AG72,"&lt;0"),"n/a")</f>
        <v>9</v>
      </c>
    </row>
    <row r="79" spans="5:34" ht="15" customHeight="1">
      <c r="E79" s="25" t="s">
        <v>811</v>
      </c>
      <c r="F79" s="7" t="str">
        <f>Inputs!$D$7</f>
        <v>HUF</v>
      </c>
      <c r="G79" s="286">
        <f>XNPV($G$64,K81:AG81,K4:AG4)</f>
        <v>1325143.4466552052</v>
      </c>
    </row>
    <row r="80" spans="5:34" ht="15" customHeight="1">
      <c r="E80" s="25" t="s">
        <v>812</v>
      </c>
      <c r="G80" s="286">
        <f>XNPV($G$64,K82:AG82,K4:AG4)</f>
        <v>15067.381226489149</v>
      </c>
      <c r="K80" s="34"/>
      <c r="L80" s="34"/>
      <c r="M80" s="34"/>
      <c r="N80" s="34"/>
      <c r="O80" s="34"/>
      <c r="P80" s="34"/>
      <c r="Q80" s="34"/>
      <c r="R80" s="34"/>
      <c r="S80" s="34"/>
      <c r="T80" s="34"/>
      <c r="U80" s="34"/>
      <c r="V80" s="34"/>
      <c r="W80" s="34"/>
      <c r="X80" s="34"/>
      <c r="Y80" s="34"/>
      <c r="Z80" s="34"/>
      <c r="AA80" s="34"/>
      <c r="AB80" s="34"/>
      <c r="AC80" s="34"/>
      <c r="AD80" s="34"/>
      <c r="AE80" s="34"/>
      <c r="AF80" s="34"/>
      <c r="AG80" s="34"/>
      <c r="AH80" s="134"/>
    </row>
    <row r="81" spans="2:34" ht="15" customHeight="1">
      <c r="E81" s="25" t="s">
        <v>813</v>
      </c>
      <c r="K81" s="36">
        <f>Construction!K58+Operations!K85</f>
        <v>0</v>
      </c>
      <c r="L81" s="36">
        <f>Construction!L58+Operations!L85</f>
        <v>354161.89977600001</v>
      </c>
      <c r="M81" s="36">
        <f>Construction!M58+Operations!M85</f>
        <v>361245.13777151995</v>
      </c>
      <c r="N81" s="36">
        <f>Construction!N58+Operations!N85</f>
        <v>59604.451745813501</v>
      </c>
      <c r="O81" s="36">
        <f>Construction!O58+Operations!O85</f>
        <v>61170.836728197457</v>
      </c>
      <c r="P81" s="36">
        <f>Construction!P58+Operations!P85</f>
        <v>62779.18808174388</v>
      </c>
      <c r="Q81" s="36">
        <f>Construction!Q58+Operations!Q85</f>
        <v>64430.65118457716</v>
      </c>
      <c r="R81" s="36">
        <f>Construction!R58+Operations!R85</f>
        <v>66126.403215924889</v>
      </c>
      <c r="S81" s="36">
        <f>Construction!S58+Operations!S85</f>
        <v>67867.654052720522</v>
      </c>
      <c r="T81" s="36">
        <f>Construction!T58+Operations!T85</f>
        <v>69655.64719182362</v>
      </c>
      <c r="U81" s="36">
        <f>Construction!U58+Operations!U85</f>
        <v>71491.660698598993</v>
      </c>
      <c r="V81" s="36">
        <f>Construction!V58+Operations!V85</f>
        <v>73377.008182615493</v>
      </c>
      <c r="W81" s="36">
        <f>Construction!W58+Operations!W85</f>
        <v>75313.039801249499</v>
      </c>
      <c r="X81" s="36">
        <f>Construction!X58+Operations!X85</f>
        <v>77301.143291999237</v>
      </c>
      <c r="Y81" s="36">
        <f>Construction!Y58+Operations!Y85</f>
        <v>79342.745034341177</v>
      </c>
      <c r="Z81" s="36">
        <f>Construction!Z58+Operations!Z85</f>
        <v>81439.311141982631</v>
      </c>
      <c r="AA81" s="36">
        <f>Construction!AA58+Operations!AA85</f>
        <v>83592.348586391061</v>
      </c>
      <c r="AB81" s="36">
        <f>Construction!AB58+Operations!AB85</f>
        <v>85803.406352504273</v>
      </c>
      <c r="AC81" s="36">
        <f>Construction!AC58+Operations!AC85</f>
        <v>88074.076627554838</v>
      </c>
      <c r="AD81" s="36">
        <f>Construction!AD58+Operations!AD85</f>
        <v>90405.996023966756</v>
      </c>
      <c r="AE81" s="36">
        <f>Construction!AE58+Operations!AE85</f>
        <v>92800.846837311852</v>
      </c>
      <c r="AF81" s="36">
        <f>Construction!AF58+Operations!AF85</f>
        <v>95260.358340341758</v>
      </c>
      <c r="AG81" s="36">
        <f>Construction!AG58+Operations!AG85</f>
        <v>97786.308114141502</v>
      </c>
      <c r="AH81" s="134"/>
    </row>
    <row r="82" spans="2:34" ht="15" customHeight="1">
      <c r="E82" s="25" t="s">
        <v>814</v>
      </c>
      <c r="K82" s="36">
        <f>Operations!K26</f>
        <v>0</v>
      </c>
      <c r="L82" s="36">
        <f>Operations!L26</f>
        <v>0</v>
      </c>
      <c r="M82" s="36">
        <f>Operations!M26</f>
        <v>0</v>
      </c>
      <c r="N82" s="36">
        <f>Operations!N26</f>
        <v>1643.2978612800002</v>
      </c>
      <c r="O82" s="36">
        <f>Operations!O26</f>
        <v>1640.0112655574403</v>
      </c>
      <c r="P82" s="36">
        <f>Operations!P26</f>
        <v>1636.7312430263253</v>
      </c>
      <c r="Q82" s="36">
        <f>Operations!Q26</f>
        <v>1633.4577805402728</v>
      </c>
      <c r="R82" s="36">
        <f>Operations!R26</f>
        <v>1630.1908649791922</v>
      </c>
      <c r="S82" s="36">
        <f>Operations!S26</f>
        <v>1626.9304832492337</v>
      </c>
      <c r="T82" s="36">
        <f>Operations!T26</f>
        <v>1623.6766222827353</v>
      </c>
      <c r="U82" s="36">
        <f>Operations!U26</f>
        <v>1620.4292690381699</v>
      </c>
      <c r="V82" s="36">
        <f>Operations!V26</f>
        <v>1617.1884105000936</v>
      </c>
      <c r="W82" s="36">
        <f>Operations!W26</f>
        <v>1613.9540336790933</v>
      </c>
      <c r="X82" s="36">
        <f>Operations!X26</f>
        <v>1610.7261256117351</v>
      </c>
      <c r="Y82" s="36">
        <f>Operations!Y26</f>
        <v>1607.5046733605118</v>
      </c>
      <c r="Z82" s="36">
        <f>Operations!Z26</f>
        <v>1604.2896640137908</v>
      </c>
      <c r="AA82" s="36">
        <f>Operations!AA26</f>
        <v>1601.081084685763</v>
      </c>
      <c r="AB82" s="36">
        <f>Operations!AB26</f>
        <v>1597.8789225163916</v>
      </c>
      <c r="AC82" s="36">
        <f>Operations!AC26</f>
        <v>1594.683164671359</v>
      </c>
      <c r="AD82" s="36">
        <f>Operations!AD26</f>
        <v>1591.4937983420161</v>
      </c>
      <c r="AE82" s="36">
        <f>Operations!AE26</f>
        <v>1588.3108107453322</v>
      </c>
      <c r="AF82" s="36">
        <f>Operations!AF26</f>
        <v>1585.1341891238415</v>
      </c>
      <c r="AG82" s="36">
        <f>Operations!AG26</f>
        <v>1581.9639207455939</v>
      </c>
      <c r="AH82" s="134"/>
    </row>
    <row r="83" spans="2:34" ht="15" customHeight="1">
      <c r="E83" s="11" t="s">
        <v>815</v>
      </c>
      <c r="F83" s="7" t="str">
        <f>Inputs!$D$7</f>
        <v>HUF</v>
      </c>
      <c r="G83" s="284">
        <f>IFERROR($G$79/$G$80,"n/a")</f>
        <v>87.947827610915027</v>
      </c>
      <c r="K83" s="34"/>
      <c r="L83" s="34"/>
      <c r="M83" s="34"/>
      <c r="N83" s="34"/>
      <c r="O83" s="34"/>
      <c r="P83" s="34"/>
      <c r="Q83" s="34"/>
      <c r="R83" s="34"/>
      <c r="S83" s="34"/>
      <c r="T83" s="34"/>
      <c r="U83" s="34"/>
      <c r="V83" s="34"/>
      <c r="W83" s="34"/>
      <c r="X83" s="34"/>
      <c r="Y83" s="34"/>
      <c r="Z83" s="34"/>
      <c r="AA83" s="34"/>
      <c r="AB83" s="34"/>
      <c r="AC83" s="34"/>
      <c r="AD83" s="34"/>
      <c r="AE83" s="34"/>
      <c r="AF83" s="34"/>
      <c r="AG83" s="34"/>
      <c r="AH83" s="134"/>
    </row>
    <row r="84" spans="2:34" ht="15" customHeight="1">
      <c r="E84" s="25" t="s">
        <v>816</v>
      </c>
      <c r="F84" s="7" t="str">
        <f>Inputs!$D$7</f>
        <v>HUF</v>
      </c>
      <c r="K84" s="36">
        <f>0</f>
        <v>0</v>
      </c>
      <c r="L84" s="36">
        <f>0</f>
        <v>0</v>
      </c>
      <c r="M84" s="36">
        <f>0</f>
        <v>0</v>
      </c>
      <c r="N84" s="36">
        <f>0</f>
        <v>0</v>
      </c>
      <c r="O84" s="36">
        <f>0</f>
        <v>0</v>
      </c>
      <c r="P84" s="36">
        <f>0</f>
        <v>0</v>
      </c>
      <c r="Q84" s="36">
        <f>0</f>
        <v>0</v>
      </c>
      <c r="R84" s="36">
        <f>0</f>
        <v>0</v>
      </c>
      <c r="S84" s="36">
        <f>0</f>
        <v>0</v>
      </c>
      <c r="T84" s="36">
        <f>0</f>
        <v>0</v>
      </c>
      <c r="U84" s="36">
        <f>0</f>
        <v>0</v>
      </c>
      <c r="V84" s="36">
        <f>0</f>
        <v>0</v>
      </c>
      <c r="W84" s="36">
        <f>0</f>
        <v>0</v>
      </c>
      <c r="X84" s="36">
        <f>0</f>
        <v>0</v>
      </c>
      <c r="Y84" s="36">
        <f>0</f>
        <v>0</v>
      </c>
      <c r="Z84" s="36">
        <f>0</f>
        <v>0</v>
      </c>
      <c r="AA84" s="36">
        <f>0</f>
        <v>0</v>
      </c>
      <c r="AB84" s="36">
        <f>0</f>
        <v>0</v>
      </c>
      <c r="AC84" s="36">
        <f>0</f>
        <v>0</v>
      </c>
      <c r="AD84" s="36">
        <f>0</f>
        <v>0</v>
      </c>
      <c r="AE84" s="36">
        <f>0</f>
        <v>0</v>
      </c>
      <c r="AF84" s="36">
        <f>0</f>
        <v>0</v>
      </c>
      <c r="AG84" s="36">
        <f>Depreciation!AG64-AG54-AG98</f>
        <v>84320.257867112596</v>
      </c>
      <c r="AH84" s="134"/>
    </row>
    <row r="85" spans="2:34" ht="15" customHeight="1">
      <c r="B85" s="40"/>
      <c r="C85" s="14" t="s">
        <v>817</v>
      </c>
      <c r="D85" s="40"/>
      <c r="E85" s="40"/>
      <c r="F85" s="40"/>
      <c r="G85" s="40"/>
      <c r="H85" s="40"/>
      <c r="I85" s="40"/>
      <c r="J85" s="40"/>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4"/>
    </row>
    <row r="86" spans="2:34" ht="15" customHeight="1">
      <c r="E86" s="25" t="s">
        <v>818</v>
      </c>
      <c r="F86" s="7" t="str">
        <f>Inputs!$D$7</f>
        <v>HUF</v>
      </c>
      <c r="K86" s="36">
        <f>Operations!K66*Inputs!$I$184/365</f>
        <v>0</v>
      </c>
      <c r="L86" s="36">
        <f>Operations!L66*Inputs!$I$184/365</f>
        <v>0</v>
      </c>
      <c r="M86" s="36">
        <f>Operations!M66*Inputs!$I$184/365</f>
        <v>0</v>
      </c>
      <c r="N86" s="36">
        <f>Operations!N66*Inputs!$I$184/365</f>
        <v>5125.4747064564917</v>
      </c>
      <c r="O86" s="36">
        <f>Operations!O66*Inputs!$I$184/365</f>
        <v>5263.1400917691335</v>
      </c>
      <c r="P86" s="36">
        <f>Operations!P66*Inputs!$I$184/365</f>
        <v>5404.541040387694</v>
      </c>
      <c r="Q86" s="36">
        <f>Operations!Q66*Inputs!$I$184/365</f>
        <v>5549.7797077997484</v>
      </c>
      <c r="R86" s="36">
        <f>Operations!R66*Inputs!$I$184/365</f>
        <v>5698.9610593941679</v>
      </c>
      <c r="S86" s="36">
        <f>Operations!S66*Inputs!$I$184/365</f>
        <v>5852.1929480833051</v>
      </c>
      <c r="T86" s="36">
        <f>Operations!T66*Inputs!$I$184/365</f>
        <v>6009.5861940762106</v>
      </c>
      <c r="U86" s="36">
        <f>Operations!U66*Inputs!$I$184/365</f>
        <v>6171.2546668626283</v>
      </c>
      <c r="V86" s="36">
        <f>Operations!V66*Inputs!$I$184/365</f>
        <v>6337.3153694691746</v>
      </c>
      <c r="W86" s="36">
        <f>Operations!W66*Inputs!$I$184/365</f>
        <v>6507.8885250508374</v>
      </c>
      <c r="X86" s="36">
        <f>Operations!X66*Inputs!$I$184/365</f>
        <v>6683.0976658826239</v>
      </c>
      <c r="Y86" s="36">
        <f>Operations!Y66*Inputs!$I$184/365</f>
        <v>6863.0697248180904</v>
      </c>
      <c r="Z86" s="36">
        <f>Operations!Z66*Inputs!$I$184/365</f>
        <v>7047.9351292832253</v>
      </c>
      <c r="AA86" s="36">
        <f>Operations!AA66*Inputs!$I$184/365</f>
        <v>7237.8278978761928</v>
      </c>
      <c r="AB86" s="36">
        <f>Operations!AB66*Inputs!$I$184/365</f>
        <v>7432.8857396452595</v>
      </c>
      <c r="AC86" s="36">
        <f>Operations!AC66*Inputs!$I$184/365</f>
        <v>7633.2501561194085</v>
      </c>
      <c r="AD86" s="36">
        <f>Operations!AD66*Inputs!$I$184/365</f>
        <v>7839.066546168011</v>
      </c>
      <c r="AE86" s="36">
        <f>Operations!AE66*Inputs!$I$184/365</f>
        <v>8050.4843137683038</v>
      </c>
      <c r="AF86" s="36">
        <f>Operations!AF66*Inputs!$I$184/365</f>
        <v>8267.6569787613571</v>
      </c>
      <c r="AG86" s="36">
        <f>Operations!AG66*Inputs!$I$184/365</f>
        <v>8490.7422906796419</v>
      </c>
      <c r="AH86" s="134"/>
    </row>
    <row r="87" spans="2:34" ht="15" customHeight="1">
      <c r="E87" s="25" t="s">
        <v>819</v>
      </c>
      <c r="F87" s="7" t="str">
        <f>Inputs!$D$7</f>
        <v>HUF</v>
      </c>
      <c r="K87" s="36">
        <f>Operations!K85*Inputs!$I$185/365</f>
        <v>0</v>
      </c>
      <c r="L87" s="36">
        <f>Operations!L85*Inputs!$I$185/365</f>
        <v>0</v>
      </c>
      <c r="M87" s="36">
        <f>Operations!M85*Inputs!$I$185/365</f>
        <v>0</v>
      </c>
      <c r="N87" s="36">
        <f>Operations!N85*Inputs!$I$185/365</f>
        <v>4898.9960339024801</v>
      </c>
      <c r="O87" s="36">
        <f>Operations!O85*Inputs!$I$185/365</f>
        <v>5027.7400050573251</v>
      </c>
      <c r="P87" s="36">
        <f>Operations!P85*Inputs!$I$185/365</f>
        <v>5159.933266992648</v>
      </c>
      <c r="Q87" s="36">
        <f>Operations!Q85*Inputs!$I$185/365</f>
        <v>5295.6699603762054</v>
      </c>
      <c r="R87" s="36">
        <f>Operations!R85*Inputs!$I$185/365</f>
        <v>5435.0468396650595</v>
      </c>
      <c r="S87" s="36">
        <f>Operations!S85*Inputs!$I$185/365</f>
        <v>5578.1633467989468</v>
      </c>
      <c r="T87" s="36">
        <f>Operations!T85*Inputs!$I$185/365</f>
        <v>5725.1216869992022</v>
      </c>
      <c r="U87" s="36">
        <f>Operations!U85*Inputs!$I$185/365</f>
        <v>5876.0269067341642</v>
      </c>
      <c r="V87" s="36">
        <f>Operations!V85*Inputs!$I$185/365</f>
        <v>6030.986973913602</v>
      </c>
      <c r="W87" s="36">
        <f>Operations!W85*Inputs!$I$185/365</f>
        <v>6190.1128603766711</v>
      </c>
      <c r="X87" s="36">
        <f>Operations!X85*Inputs!$I$185/365</f>
        <v>6353.5186267396639</v>
      </c>
      <c r="Y87" s="36">
        <f>Operations!Y85*Inputs!$I$185/365</f>
        <v>6521.3215096718768</v>
      </c>
      <c r="Z87" s="36">
        <f>Operations!Z85*Inputs!$I$185/365</f>
        <v>6693.6420116698055</v>
      </c>
      <c r="AA87" s="36">
        <f>Operations!AA85*Inputs!$I$185/365</f>
        <v>6870.6039934020055</v>
      </c>
      <c r="AB87" s="36">
        <f>Operations!AB85*Inputs!$I$185/365</f>
        <v>7052.3347686989819</v>
      </c>
      <c r="AC87" s="36">
        <f>Operations!AC85*Inputs!$I$185/365</f>
        <v>7238.9652022647815</v>
      </c>
      <c r="AD87" s="36">
        <f>Operations!AD85*Inputs!$I$185/365</f>
        <v>7430.6298101890488</v>
      </c>
      <c r="AE87" s="36">
        <f>Operations!AE85*Inputs!$I$185/365</f>
        <v>7627.4668633407009</v>
      </c>
      <c r="AF87" s="36">
        <f>Operations!AF85*Inputs!$I$185/365</f>
        <v>7829.6184937267199</v>
      </c>
      <c r="AG87" s="36">
        <f>Operations!AG85*Inputs!$I$185/365</f>
        <v>8037.2308039020418</v>
      </c>
      <c r="AH87" s="134"/>
    </row>
    <row r="88" spans="2:34" ht="15" customHeight="1">
      <c r="E88" s="112" t="s">
        <v>820</v>
      </c>
      <c r="F88" s="107" t="str">
        <f>Inputs!$D$7</f>
        <v>HUF</v>
      </c>
      <c r="G88" s="108"/>
      <c r="H88" s="108"/>
      <c r="I88" s="108"/>
      <c r="J88" s="108"/>
      <c r="K88" s="110">
        <f t="shared" ref="K88:AG88" si="22">K86-K87</f>
        <v>0</v>
      </c>
      <c r="L88" s="110">
        <f t="shared" si="22"/>
        <v>0</v>
      </c>
      <c r="M88" s="110">
        <f t="shared" si="22"/>
        <v>0</v>
      </c>
      <c r="N88" s="110">
        <f t="shared" si="22"/>
        <v>226.47867255401161</v>
      </c>
      <c r="O88" s="110">
        <f t="shared" si="22"/>
        <v>235.4000867118084</v>
      </c>
      <c r="P88" s="110">
        <f t="shared" si="22"/>
        <v>244.60777339504602</v>
      </c>
      <c r="Q88" s="110">
        <f t="shared" si="22"/>
        <v>254.10974742354301</v>
      </c>
      <c r="R88" s="110">
        <f t="shared" si="22"/>
        <v>263.91421972910848</v>
      </c>
      <c r="S88" s="110">
        <f t="shared" si="22"/>
        <v>274.02960128435825</v>
      </c>
      <c r="T88" s="110">
        <f t="shared" si="22"/>
        <v>284.46450707700842</v>
      </c>
      <c r="U88" s="110">
        <f t="shared" si="22"/>
        <v>295.22776012846407</v>
      </c>
      <c r="V88" s="110">
        <f t="shared" si="22"/>
        <v>306.32839555557257</v>
      </c>
      <c r="W88" s="110">
        <f t="shared" si="22"/>
        <v>317.77566467416636</v>
      </c>
      <c r="X88" s="110">
        <f t="shared" si="22"/>
        <v>329.57903914296003</v>
      </c>
      <c r="Y88" s="110">
        <f t="shared" si="22"/>
        <v>341.74821514621362</v>
      </c>
      <c r="Z88" s="110">
        <f t="shared" si="22"/>
        <v>354.29311761341978</v>
      </c>
      <c r="AA88" s="110">
        <f t="shared" si="22"/>
        <v>367.22390447418729</v>
      </c>
      <c r="AB88" s="110">
        <f t="shared" si="22"/>
        <v>380.55097094627763</v>
      </c>
      <c r="AC88" s="110">
        <f t="shared" si="22"/>
        <v>394.28495385462702</v>
      </c>
      <c r="AD88" s="110">
        <f t="shared" si="22"/>
        <v>408.43673597896213</v>
      </c>
      <c r="AE88" s="110">
        <f t="shared" si="22"/>
        <v>423.01745042760285</v>
      </c>
      <c r="AF88" s="110">
        <f t="shared" si="22"/>
        <v>438.03848503463723</v>
      </c>
      <c r="AG88" s="110">
        <f t="shared" si="22"/>
        <v>453.51148677760011</v>
      </c>
      <c r="AH88" s="134"/>
    </row>
    <row r="89" spans="2:34" ht="15" customHeight="1">
      <c r="E89" s="25" t="s">
        <v>821</v>
      </c>
      <c r="F89" s="7" t="str">
        <f>Inputs!$D$7</f>
        <v>HUF</v>
      </c>
      <c r="K89" s="36">
        <f>K88</f>
        <v>0</v>
      </c>
      <c r="L89" s="36">
        <f t="shared" ref="L89:AG89" si="23">L88-K88</f>
        <v>0</v>
      </c>
      <c r="M89" s="36">
        <f t="shared" si="23"/>
        <v>0</v>
      </c>
      <c r="N89" s="36">
        <f t="shared" si="23"/>
        <v>226.47867255401161</v>
      </c>
      <c r="O89" s="36">
        <f t="shared" si="23"/>
        <v>8.9214141577967894</v>
      </c>
      <c r="P89" s="36">
        <f t="shared" si="23"/>
        <v>9.2076866832376254</v>
      </c>
      <c r="Q89" s="36">
        <f t="shared" si="23"/>
        <v>9.5019740284969885</v>
      </c>
      <c r="R89" s="36">
        <f t="shared" si="23"/>
        <v>9.8044723055654686</v>
      </c>
      <c r="S89" s="36">
        <f t="shared" si="23"/>
        <v>10.115381555249769</v>
      </c>
      <c r="T89" s="36">
        <f t="shared" si="23"/>
        <v>10.43490579265017</v>
      </c>
      <c r="U89" s="36">
        <f t="shared" si="23"/>
        <v>10.763253051455649</v>
      </c>
      <c r="V89" s="36">
        <f t="shared" si="23"/>
        <v>11.1006354271085</v>
      </c>
      <c r="W89" s="36">
        <f t="shared" si="23"/>
        <v>11.447269118593795</v>
      </c>
      <c r="X89" s="36">
        <f t="shared" si="23"/>
        <v>11.803374468793663</v>
      </c>
      <c r="Y89" s="36">
        <f t="shared" si="23"/>
        <v>12.169176003253597</v>
      </c>
      <c r="Z89" s="36">
        <f t="shared" si="23"/>
        <v>12.544902467206157</v>
      </c>
      <c r="AA89" s="36">
        <f t="shared" si="23"/>
        <v>12.930786860767512</v>
      </c>
      <c r="AB89" s="36">
        <f t="shared" si="23"/>
        <v>13.327066472090337</v>
      </c>
      <c r="AC89" s="36">
        <f t="shared" si="23"/>
        <v>13.73398290834939</v>
      </c>
      <c r="AD89" s="36">
        <f t="shared" si="23"/>
        <v>14.151782124335114</v>
      </c>
      <c r="AE89" s="36">
        <f t="shared" si="23"/>
        <v>14.58071444864072</v>
      </c>
      <c r="AF89" s="36">
        <f t="shared" si="23"/>
        <v>15.02103460703438</v>
      </c>
      <c r="AG89" s="36">
        <f t="shared" si="23"/>
        <v>15.473001742962879</v>
      </c>
      <c r="AH89" s="134"/>
    </row>
    <row r="90" spans="2:34">
      <c r="K90" s="34"/>
      <c r="L90" s="34"/>
      <c r="M90" s="34"/>
      <c r="N90" s="34"/>
      <c r="O90" s="34"/>
      <c r="P90" s="34"/>
      <c r="Q90" s="34"/>
      <c r="R90" s="34"/>
      <c r="S90" s="34"/>
      <c r="T90" s="34"/>
      <c r="U90" s="34"/>
      <c r="V90" s="34"/>
      <c r="W90" s="34"/>
      <c r="X90" s="34"/>
      <c r="Y90" s="34"/>
      <c r="Z90" s="34"/>
      <c r="AA90" s="34"/>
      <c r="AB90" s="34"/>
      <c r="AC90" s="34"/>
      <c r="AD90" s="34"/>
      <c r="AE90" s="34"/>
      <c r="AF90" s="34"/>
      <c r="AG90" s="34"/>
      <c r="AH90" s="134"/>
    </row>
    <row r="91" spans="2:34" ht="15" customHeight="1">
      <c r="B91" s="40"/>
      <c r="C91" s="14" t="s">
        <v>822</v>
      </c>
      <c r="D91" s="40"/>
      <c r="E91" s="40"/>
      <c r="F91" s="40"/>
      <c r="G91" s="40"/>
      <c r="H91" s="40"/>
      <c r="I91" s="40"/>
      <c r="J91" s="40"/>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5"/>
      <c r="AH91" s="134"/>
    </row>
    <row r="92" spans="2:34" ht="15" customHeight="1">
      <c r="E92" s="25" t="s">
        <v>823</v>
      </c>
      <c r="F92" s="7" t="str">
        <f>Inputs!$D$7</f>
        <v>HUF</v>
      </c>
      <c r="K92" s="36">
        <f>0</f>
        <v>0</v>
      </c>
      <c r="L92" s="36">
        <f t="shared" ref="L92:AG92" si="24">K95</f>
        <v>0</v>
      </c>
      <c r="M92" s="36">
        <f t="shared" si="24"/>
        <v>355932.70927488001</v>
      </c>
      <c r="N92" s="36">
        <f t="shared" si="24"/>
        <v>729608.92972853757</v>
      </c>
      <c r="O92" s="36">
        <f t="shared" si="24"/>
        <v>583687.1437828301</v>
      </c>
      <c r="P92" s="36">
        <f t="shared" si="24"/>
        <v>466949.71502626408</v>
      </c>
      <c r="Q92" s="36">
        <f t="shared" si="24"/>
        <v>373559.77202101127</v>
      </c>
      <c r="R92" s="36">
        <f t="shared" si="24"/>
        <v>298847.81761680904</v>
      </c>
      <c r="S92" s="36">
        <f t="shared" si="24"/>
        <v>239078.25409344723</v>
      </c>
      <c r="T92" s="36">
        <f t="shared" si="24"/>
        <v>191262.6032747578</v>
      </c>
      <c r="U92" s="36">
        <f t="shared" si="24"/>
        <v>153010.08261980623</v>
      </c>
      <c r="V92" s="36">
        <f t="shared" si="24"/>
        <v>122408.06609584499</v>
      </c>
      <c r="W92" s="36">
        <f t="shared" si="24"/>
        <v>97926.45287667599</v>
      </c>
      <c r="X92" s="36">
        <f t="shared" si="24"/>
        <v>78341.162301340795</v>
      </c>
      <c r="Y92" s="36">
        <f t="shared" si="24"/>
        <v>62672.929841072633</v>
      </c>
      <c r="Z92" s="36">
        <f t="shared" si="24"/>
        <v>50138.34387285811</v>
      </c>
      <c r="AA92" s="36">
        <f t="shared" si="24"/>
        <v>40110.675098286491</v>
      </c>
      <c r="AB92" s="36">
        <f t="shared" si="24"/>
        <v>32088.540078629194</v>
      </c>
      <c r="AC92" s="36">
        <f t="shared" si="24"/>
        <v>25670.832062903355</v>
      </c>
      <c r="AD92" s="36">
        <f t="shared" si="24"/>
        <v>20536.665650322684</v>
      </c>
      <c r="AE92" s="36">
        <f t="shared" si="24"/>
        <v>16429.332520258147</v>
      </c>
      <c r="AF92" s="36">
        <f t="shared" si="24"/>
        <v>13143.466016206517</v>
      </c>
      <c r="AG92" s="36">
        <f t="shared" si="24"/>
        <v>10514.772812965213</v>
      </c>
      <c r="AH92" s="134"/>
    </row>
    <row r="93" spans="2:34" ht="15" customHeight="1">
      <c r="E93" s="25" t="s">
        <v>824</v>
      </c>
      <c r="F93" s="7" t="str">
        <f>Inputs!$D$7</f>
        <v>HUF</v>
      </c>
      <c r="K93" s="36">
        <f>Depreciation!K62</f>
        <v>0</v>
      </c>
      <c r="L93" s="36">
        <f>Depreciation!L62</f>
        <v>355932.70927488001</v>
      </c>
      <c r="M93" s="36">
        <f>Depreciation!M62</f>
        <v>373676.22045365756</v>
      </c>
      <c r="N93" s="36">
        <f>Depreciation!N62</f>
        <v>0</v>
      </c>
      <c r="O93" s="36">
        <f>Depreciation!O62</f>
        <v>0</v>
      </c>
      <c r="P93" s="36">
        <f>Depreciation!P62</f>
        <v>0</v>
      </c>
      <c r="Q93" s="36">
        <f>Depreciation!Q62</f>
        <v>0</v>
      </c>
      <c r="R93" s="36">
        <f>Depreciation!R62</f>
        <v>0</v>
      </c>
      <c r="S93" s="36">
        <f>Depreciation!S62</f>
        <v>0</v>
      </c>
      <c r="T93" s="36">
        <f>Depreciation!T62</f>
        <v>0</v>
      </c>
      <c r="U93" s="36">
        <f>Depreciation!U62</f>
        <v>0</v>
      </c>
      <c r="V93" s="36">
        <f>Depreciation!V62</f>
        <v>0</v>
      </c>
      <c r="W93" s="36">
        <f>Depreciation!W62</f>
        <v>0</v>
      </c>
      <c r="X93" s="36">
        <f>Depreciation!X62</f>
        <v>0</v>
      </c>
      <c r="Y93" s="36">
        <f>Depreciation!Y62</f>
        <v>0</v>
      </c>
      <c r="Z93" s="36">
        <f>Depreciation!Z62</f>
        <v>0</v>
      </c>
      <c r="AA93" s="36">
        <f>Depreciation!AA62</f>
        <v>0</v>
      </c>
      <c r="AB93" s="36">
        <f>Depreciation!AB62</f>
        <v>0</v>
      </c>
      <c r="AC93" s="36">
        <f>Depreciation!AC62</f>
        <v>0</v>
      </c>
      <c r="AD93" s="36">
        <f>Depreciation!AD62</f>
        <v>0</v>
      </c>
      <c r="AE93" s="36">
        <f>Depreciation!AE62</f>
        <v>0</v>
      </c>
      <c r="AF93" s="36">
        <f>Depreciation!AF62</f>
        <v>0</v>
      </c>
      <c r="AG93" s="36">
        <f>Depreciation!AG62</f>
        <v>0</v>
      </c>
      <c r="AH93" s="134"/>
    </row>
    <row r="94" spans="2:34" ht="15" customHeight="1">
      <c r="E94" s="25" t="s">
        <v>825</v>
      </c>
      <c r="F94" s="7" t="str">
        <f>Inputs!$D$7</f>
        <v>HUF</v>
      </c>
      <c r="K94" s="36">
        <f>-Inputs!$I$186*(K92+K93)*K10</f>
        <v>0</v>
      </c>
      <c r="L94" s="36">
        <f>-Inputs!$I$186*(L92+L93)*L10</f>
        <v>0</v>
      </c>
      <c r="M94" s="36">
        <f>-Inputs!$I$186*(M92+M93)*M10</f>
        <v>0</v>
      </c>
      <c r="N94" s="36">
        <f>-Inputs!$I$186*(N92+N93)*N10</f>
        <v>-145921.78594570752</v>
      </c>
      <c r="O94" s="36">
        <f>-Inputs!$I$186*(O92+O93)*O10</f>
        <v>-116737.42875656602</v>
      </c>
      <c r="P94" s="36">
        <f>-Inputs!$I$186*(P92+P93)*P10</f>
        <v>-93389.943005252819</v>
      </c>
      <c r="Q94" s="36">
        <f>-Inputs!$I$186*(Q92+Q93)*Q10</f>
        <v>-74711.954404202261</v>
      </c>
      <c r="R94" s="36">
        <f>-Inputs!$I$186*(R92+R93)*R10</f>
        <v>-59769.563523361809</v>
      </c>
      <c r="S94" s="36">
        <f>-Inputs!$I$186*(S92+S93)*S10</f>
        <v>-47815.65081868945</v>
      </c>
      <c r="T94" s="36">
        <f>-Inputs!$I$186*(T92+T93)*T10</f>
        <v>-38252.520654951564</v>
      </c>
      <c r="U94" s="36">
        <f>-Inputs!$I$186*(U92+U93)*U10</f>
        <v>-30602.016523961247</v>
      </c>
      <c r="V94" s="36">
        <f>-Inputs!$I$186*(V92+V93)*V10</f>
        <v>-24481.613219168998</v>
      </c>
      <c r="W94" s="36">
        <f>-Inputs!$I$186*(W92+W93)*W10</f>
        <v>-19585.290575335199</v>
      </c>
      <c r="X94" s="36">
        <f>-Inputs!$I$186*(X92+X93)*X10</f>
        <v>-15668.23246026816</v>
      </c>
      <c r="Y94" s="36">
        <f>-Inputs!$I$186*(Y92+Y93)*Y10</f>
        <v>-12534.585968214527</v>
      </c>
      <c r="Z94" s="36">
        <f>-Inputs!$I$186*(Z92+Z93)*Z10</f>
        <v>-10027.668774571623</v>
      </c>
      <c r="AA94" s="36">
        <f>-Inputs!$I$186*(AA92+AA93)*AA10</f>
        <v>-8022.1350196572985</v>
      </c>
      <c r="AB94" s="36">
        <f>-Inputs!$I$186*(AB92+AB93)*AB10</f>
        <v>-6417.7080157258388</v>
      </c>
      <c r="AC94" s="36">
        <f>-Inputs!$I$186*(AC92+AC93)*AC10</f>
        <v>-5134.166412580671</v>
      </c>
      <c r="AD94" s="36">
        <f>-Inputs!$I$186*(AD92+AD93)*AD10</f>
        <v>-4107.3331300645368</v>
      </c>
      <c r="AE94" s="36">
        <f>-Inputs!$I$186*(AE92+AE93)*AE10</f>
        <v>-3285.8665040516298</v>
      </c>
      <c r="AF94" s="36">
        <f>-Inputs!$I$186*(AF92+AF93)*AF10</f>
        <v>-2628.6932032413038</v>
      </c>
      <c r="AG94" s="36">
        <f>-Inputs!$I$186*(AG92+AG93)*AG10</f>
        <v>-2102.9545625930427</v>
      </c>
      <c r="AH94" s="134"/>
    </row>
    <row r="95" spans="2:34" ht="15" customHeight="1">
      <c r="E95" s="112" t="s">
        <v>826</v>
      </c>
      <c r="F95" s="107" t="str">
        <f>Inputs!$D$7</f>
        <v>HUF</v>
      </c>
      <c r="G95" s="108"/>
      <c r="H95" s="108"/>
      <c r="I95" s="108"/>
      <c r="J95" s="108"/>
      <c r="K95" s="110">
        <f t="shared" ref="K95:AG95" si="25">K92+K93+K94</f>
        <v>0</v>
      </c>
      <c r="L95" s="110">
        <f t="shared" si="25"/>
        <v>355932.70927488001</v>
      </c>
      <c r="M95" s="110">
        <f t="shared" si="25"/>
        <v>729608.92972853757</v>
      </c>
      <c r="N95" s="110">
        <f t="shared" si="25"/>
        <v>583687.1437828301</v>
      </c>
      <c r="O95" s="110">
        <f t="shared" si="25"/>
        <v>466949.71502626408</v>
      </c>
      <c r="P95" s="110">
        <f t="shared" si="25"/>
        <v>373559.77202101127</v>
      </c>
      <c r="Q95" s="110">
        <f t="shared" si="25"/>
        <v>298847.81761680904</v>
      </c>
      <c r="R95" s="110">
        <f t="shared" si="25"/>
        <v>239078.25409344723</v>
      </c>
      <c r="S95" s="110">
        <f t="shared" si="25"/>
        <v>191262.6032747578</v>
      </c>
      <c r="T95" s="110">
        <f t="shared" si="25"/>
        <v>153010.08261980623</v>
      </c>
      <c r="U95" s="110">
        <f t="shared" si="25"/>
        <v>122408.06609584499</v>
      </c>
      <c r="V95" s="110">
        <f t="shared" si="25"/>
        <v>97926.45287667599</v>
      </c>
      <c r="W95" s="110">
        <f t="shared" si="25"/>
        <v>78341.162301340795</v>
      </c>
      <c r="X95" s="110">
        <f t="shared" si="25"/>
        <v>62672.929841072633</v>
      </c>
      <c r="Y95" s="110">
        <f t="shared" si="25"/>
        <v>50138.34387285811</v>
      </c>
      <c r="Z95" s="110">
        <f t="shared" si="25"/>
        <v>40110.675098286491</v>
      </c>
      <c r="AA95" s="110">
        <f t="shared" si="25"/>
        <v>32088.540078629194</v>
      </c>
      <c r="AB95" s="110">
        <f t="shared" si="25"/>
        <v>25670.832062903355</v>
      </c>
      <c r="AC95" s="110">
        <f t="shared" si="25"/>
        <v>20536.665650322684</v>
      </c>
      <c r="AD95" s="110">
        <f t="shared" si="25"/>
        <v>16429.332520258147</v>
      </c>
      <c r="AE95" s="110">
        <f t="shared" si="25"/>
        <v>13143.466016206517</v>
      </c>
      <c r="AF95" s="110">
        <f t="shared" si="25"/>
        <v>10514.772812965213</v>
      </c>
      <c r="AG95" s="110">
        <f t="shared" si="25"/>
        <v>8411.818250372171</v>
      </c>
      <c r="AH95" s="134"/>
    </row>
    <row r="96" spans="2:34" ht="15" customHeight="1">
      <c r="E96" s="25" t="s">
        <v>827</v>
      </c>
      <c r="F96" s="7" t="str">
        <f>Inputs!$D$7</f>
        <v>HUF</v>
      </c>
      <c r="K96" s="36">
        <f>Depreciation!K64</f>
        <v>0</v>
      </c>
      <c r="L96" s="36">
        <f>Depreciation!L64</f>
        <v>355932.70927488001</v>
      </c>
      <c r="M96" s="36">
        <f>Depreciation!M64</f>
        <v>729608.92972853757</v>
      </c>
      <c r="N96" s="36">
        <f>Depreciation!N64</f>
        <v>695301.85853475612</v>
      </c>
      <c r="O96" s="36">
        <f>Depreciation!O64</f>
        <v>660994.78734097455</v>
      </c>
      <c r="P96" s="36">
        <f>Depreciation!P64</f>
        <v>626687.71614719322</v>
      </c>
      <c r="Q96" s="36">
        <f>Depreciation!Q64</f>
        <v>592380.64495341177</v>
      </c>
      <c r="R96" s="36">
        <f>Depreciation!R64</f>
        <v>558073.57375963021</v>
      </c>
      <c r="S96" s="36">
        <f>Depreciation!S64</f>
        <v>523766.50256584876</v>
      </c>
      <c r="T96" s="36">
        <f>Depreciation!T64</f>
        <v>489459.43137206725</v>
      </c>
      <c r="U96" s="36">
        <f>Depreciation!U64</f>
        <v>455152.36017828574</v>
      </c>
      <c r="V96" s="36">
        <f>Depreciation!V64</f>
        <v>420845.28898450424</v>
      </c>
      <c r="W96" s="36">
        <f>Depreciation!W64</f>
        <v>386538.21779072273</v>
      </c>
      <c r="X96" s="36">
        <f>Depreciation!X64</f>
        <v>352231.14659694128</v>
      </c>
      <c r="Y96" s="36">
        <f>Depreciation!Y64</f>
        <v>317924.07540315978</v>
      </c>
      <c r="Z96" s="36">
        <f>Depreciation!Z64</f>
        <v>283617.00420937827</v>
      </c>
      <c r="AA96" s="36">
        <f>Depreciation!AA64</f>
        <v>249309.93301559673</v>
      </c>
      <c r="AB96" s="36">
        <f>Depreciation!AB64</f>
        <v>215002.86182181526</v>
      </c>
      <c r="AC96" s="36">
        <f>Depreciation!AC64</f>
        <v>198003.15062803368</v>
      </c>
      <c r="AD96" s="36">
        <f>Depreciation!AD64</f>
        <v>181003.43943425216</v>
      </c>
      <c r="AE96" s="36">
        <f>Depreciation!AE64</f>
        <v>164003.72824047066</v>
      </c>
      <c r="AF96" s="36">
        <f>Depreciation!AF64</f>
        <v>147004.01704668914</v>
      </c>
      <c r="AG96" s="36">
        <f>Depreciation!AG64</f>
        <v>130004.30585290768</v>
      </c>
      <c r="AH96" s="134"/>
    </row>
    <row r="97" spans="2:34" ht="15" customHeight="1">
      <c r="E97" s="25" t="s">
        <v>828</v>
      </c>
      <c r="F97" s="7" t="str">
        <f>Inputs!$D$7</f>
        <v>HUF</v>
      </c>
      <c r="K97" s="36">
        <f t="shared" ref="K97:AG97" si="26">K96-K95</f>
        <v>0</v>
      </c>
      <c r="L97" s="36">
        <f t="shared" si="26"/>
        <v>0</v>
      </c>
      <c r="M97" s="36">
        <f t="shared" si="26"/>
        <v>0</v>
      </c>
      <c r="N97" s="36">
        <f t="shared" si="26"/>
        <v>111614.71475192602</v>
      </c>
      <c r="O97" s="36">
        <f t="shared" si="26"/>
        <v>194045.07231471047</v>
      </c>
      <c r="P97" s="36">
        <f t="shared" si="26"/>
        <v>253127.94412618194</v>
      </c>
      <c r="Q97" s="36">
        <f t="shared" si="26"/>
        <v>293532.82733660273</v>
      </c>
      <c r="R97" s="36">
        <f t="shared" si="26"/>
        <v>318995.31966618297</v>
      </c>
      <c r="S97" s="36">
        <f t="shared" si="26"/>
        <v>332503.89929109096</v>
      </c>
      <c r="T97" s="36">
        <f t="shared" si="26"/>
        <v>336449.34875226102</v>
      </c>
      <c r="U97" s="36">
        <f t="shared" si="26"/>
        <v>332744.29408244079</v>
      </c>
      <c r="V97" s="36">
        <f t="shared" si="26"/>
        <v>322918.83610782825</v>
      </c>
      <c r="W97" s="36">
        <f t="shared" si="26"/>
        <v>308197.05548938195</v>
      </c>
      <c r="X97" s="36">
        <f t="shared" si="26"/>
        <v>289558.21675586863</v>
      </c>
      <c r="Y97" s="36">
        <f t="shared" si="26"/>
        <v>267785.73153030168</v>
      </c>
      <c r="Z97" s="36">
        <f t="shared" si="26"/>
        <v>243506.32911109179</v>
      </c>
      <c r="AA97" s="36">
        <f t="shared" si="26"/>
        <v>217221.39293696755</v>
      </c>
      <c r="AB97" s="36">
        <f t="shared" si="26"/>
        <v>189332.0297589119</v>
      </c>
      <c r="AC97" s="36">
        <f t="shared" si="26"/>
        <v>177466.48497771099</v>
      </c>
      <c r="AD97" s="36">
        <f t="shared" si="26"/>
        <v>164574.10691399401</v>
      </c>
      <c r="AE97" s="36">
        <f t="shared" si="26"/>
        <v>150860.26222426415</v>
      </c>
      <c r="AF97" s="36">
        <f t="shared" si="26"/>
        <v>136489.24423372393</v>
      </c>
      <c r="AG97" s="36">
        <f t="shared" si="26"/>
        <v>121592.4876025355</v>
      </c>
      <c r="AH97" s="134"/>
    </row>
    <row r="98" spans="2:34" ht="15" customHeight="1">
      <c r="E98" s="11" t="s">
        <v>829</v>
      </c>
      <c r="F98" s="7" t="str">
        <f>Inputs!$D$7</f>
        <v>HUF</v>
      </c>
      <c r="K98" s="115">
        <f>Inputs!$I$117*K97</f>
        <v>0</v>
      </c>
      <c r="L98" s="115">
        <f>Inputs!$I$117*L97</f>
        <v>0</v>
      </c>
      <c r="M98" s="115">
        <f>Inputs!$I$117*M97</f>
        <v>0</v>
      </c>
      <c r="N98" s="115">
        <f>Inputs!$I$117*N97</f>
        <v>10045.324327673341</v>
      </c>
      <c r="O98" s="115">
        <f>Inputs!$I$117*O97</f>
        <v>17464.056508323942</v>
      </c>
      <c r="P98" s="115">
        <f>Inputs!$I$117*P97</f>
        <v>22781.514971356373</v>
      </c>
      <c r="Q98" s="115">
        <f>Inputs!$I$117*Q97</f>
        <v>26417.954460294244</v>
      </c>
      <c r="R98" s="115">
        <f>Inputs!$I$117*R97</f>
        <v>28709.578769956468</v>
      </c>
      <c r="S98" s="115">
        <f>Inputs!$I$117*S97</f>
        <v>29925.350936198185</v>
      </c>
      <c r="T98" s="115">
        <f>Inputs!$I$117*T97</f>
        <v>30280.441387703489</v>
      </c>
      <c r="U98" s="115">
        <f>Inputs!$I$117*U97</f>
        <v>29946.986467419669</v>
      </c>
      <c r="V98" s="115">
        <f>Inputs!$I$117*V97</f>
        <v>29062.695249704542</v>
      </c>
      <c r="W98" s="115">
        <f>Inputs!$I$117*W97</f>
        <v>27737.734994044375</v>
      </c>
      <c r="X98" s="115">
        <f>Inputs!$I$117*X97</f>
        <v>26060.239508028175</v>
      </c>
      <c r="Y98" s="115">
        <f>Inputs!$I$117*Y97</f>
        <v>24100.715837727152</v>
      </c>
      <c r="Z98" s="115">
        <f>Inputs!$I$117*Z97</f>
        <v>21915.569619998259</v>
      </c>
      <c r="AA98" s="115">
        <f>Inputs!$I$117*AA97</f>
        <v>19549.925364327079</v>
      </c>
      <c r="AB98" s="115">
        <f>Inputs!$I$117*AB97</f>
        <v>17039.88267830207</v>
      </c>
      <c r="AC98" s="115">
        <f>Inputs!$I$117*AC97</f>
        <v>15971.98364799399</v>
      </c>
      <c r="AD98" s="115">
        <f>Inputs!$I$117*AD97</f>
        <v>14811.66962225946</v>
      </c>
      <c r="AE98" s="115">
        <f>Inputs!$I$117*AE97</f>
        <v>13577.423600183773</v>
      </c>
      <c r="AF98" s="115">
        <f>Inputs!$I$117*AF97</f>
        <v>12284.031981035154</v>
      </c>
      <c r="AG98" s="115">
        <f>Inputs!$I$117*AG97</f>
        <v>10943.323884228195</v>
      </c>
      <c r="AH98" s="134"/>
    </row>
    <row r="99" spans="2:34" ht="15" customHeight="1">
      <c r="E99" s="25" t="s">
        <v>830</v>
      </c>
      <c r="F99" s="7" t="str">
        <f>Inputs!$D$7</f>
        <v>HUF</v>
      </c>
      <c r="K99" s="36">
        <f>K98</f>
        <v>0</v>
      </c>
      <c r="L99" s="36">
        <f t="shared" ref="L99:AG99" si="27">L98-K98</f>
        <v>0</v>
      </c>
      <c r="M99" s="36">
        <f t="shared" si="27"/>
        <v>0</v>
      </c>
      <c r="N99" s="36">
        <f t="shared" si="27"/>
        <v>10045.324327673341</v>
      </c>
      <c r="O99" s="36">
        <f t="shared" si="27"/>
        <v>7418.7321806506006</v>
      </c>
      <c r="P99" s="36">
        <f t="shared" si="27"/>
        <v>5317.4584630324316</v>
      </c>
      <c r="Q99" s="36">
        <f t="shared" si="27"/>
        <v>3636.4394889378709</v>
      </c>
      <c r="R99" s="36">
        <f t="shared" si="27"/>
        <v>2291.6243096622238</v>
      </c>
      <c r="S99" s="36">
        <f t="shared" si="27"/>
        <v>1215.7721662417171</v>
      </c>
      <c r="T99" s="36">
        <f t="shared" si="27"/>
        <v>355.09045150530437</v>
      </c>
      <c r="U99" s="36">
        <f t="shared" si="27"/>
        <v>-333.45492028382068</v>
      </c>
      <c r="V99" s="36">
        <f t="shared" si="27"/>
        <v>-884.29121771512655</v>
      </c>
      <c r="W99" s="36">
        <f t="shared" si="27"/>
        <v>-1324.9602556601676</v>
      </c>
      <c r="X99" s="36">
        <f t="shared" si="27"/>
        <v>-1677.4954860161997</v>
      </c>
      <c r="Y99" s="36">
        <f t="shared" si="27"/>
        <v>-1959.5236703010232</v>
      </c>
      <c r="Z99" s="36">
        <f t="shared" si="27"/>
        <v>-2185.1462177288922</v>
      </c>
      <c r="AA99" s="36">
        <f t="shared" si="27"/>
        <v>-2365.6442556711809</v>
      </c>
      <c r="AB99" s="36">
        <f t="shared" si="27"/>
        <v>-2510.0426860250082</v>
      </c>
      <c r="AC99" s="36">
        <f t="shared" si="27"/>
        <v>-1067.8990303080809</v>
      </c>
      <c r="AD99" s="36">
        <f t="shared" si="27"/>
        <v>-1160.3140257345294</v>
      </c>
      <c r="AE99" s="36">
        <f t="shared" si="27"/>
        <v>-1234.2460220756875</v>
      </c>
      <c r="AF99" s="36">
        <f t="shared" si="27"/>
        <v>-1293.3916191486187</v>
      </c>
      <c r="AG99" s="36">
        <f t="shared" si="27"/>
        <v>-1340.7080968069586</v>
      </c>
      <c r="AH99" s="134"/>
    </row>
    <row r="100" spans="2: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134"/>
    </row>
    <row r="101" spans="2:34">
      <c r="B101" s="14"/>
      <c r="C101" s="14" t="s">
        <v>831</v>
      </c>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34"/>
    </row>
    <row r="102" spans="2:34">
      <c r="E102" t="s">
        <v>832</v>
      </c>
      <c r="F102" s="7" t="s">
        <v>115</v>
      </c>
      <c r="G102" s="287">
        <f>Inputs!$I$117</f>
        <v>0.09</v>
      </c>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134"/>
    </row>
    <row r="103" spans="2:34">
      <c r="E103" t="s">
        <v>833</v>
      </c>
      <c r="F103" s="7" t="str">
        <f>Inputs!$D$7</f>
        <v>HUF</v>
      </c>
      <c r="I103" s="389">
        <f>SUM(K23:AG23)</f>
        <v>1198318.5882065648</v>
      </c>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134"/>
    </row>
    <row r="104" spans="2:34">
      <c r="E104" t="s">
        <v>834</v>
      </c>
      <c r="F104" s="7" t="str">
        <f>Inputs!$D$7</f>
        <v>HUF</v>
      </c>
      <c r="I104" s="389">
        <f>-SUM(Tax!K35:AG35)</f>
        <v>80716.02420972065</v>
      </c>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134"/>
    </row>
    <row r="105" spans="2:34">
      <c r="E105" t="s">
        <v>835</v>
      </c>
      <c r="I105" s="390">
        <f>IFERROR(I104/I103,"n/a")</f>
        <v>6.735773358111917E-2</v>
      </c>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134"/>
    </row>
    <row r="106" spans="2:34">
      <c r="E106" s="346" t="s">
        <v>836</v>
      </c>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134"/>
    </row>
    <row r="107" spans="2: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134"/>
    </row>
    <row r="108" spans="2: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134"/>
    </row>
    <row r="109" spans="2: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134"/>
    </row>
    <row r="110" spans="2: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134"/>
    </row>
    <row r="111" spans="2: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134"/>
    </row>
    <row r="112" spans="2: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134"/>
    </row>
    <row r="113" spans="11: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134"/>
    </row>
    <row r="114" spans="11: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134"/>
    </row>
    <row r="115" spans="11: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134"/>
    </row>
    <row r="116" spans="11: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134"/>
    </row>
    <row r="117" spans="11: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134"/>
    </row>
    <row r="118" spans="11: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134"/>
    </row>
    <row r="119" spans="11: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134"/>
    </row>
    <row r="120" spans="11: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134"/>
    </row>
    <row r="121" spans="11: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134"/>
    </row>
    <row r="122" spans="11: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134"/>
    </row>
    <row r="123" spans="11: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134"/>
    </row>
    <row r="124" spans="11: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134"/>
    </row>
    <row r="125" spans="11: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134"/>
    </row>
    <row r="126" spans="11: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134"/>
    </row>
    <row r="127" spans="11: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134"/>
    </row>
    <row r="128" spans="11: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134"/>
    </row>
    <row r="129" spans="11: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134"/>
    </row>
    <row r="130" spans="11: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134"/>
    </row>
    <row r="131" spans="11: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134"/>
    </row>
    <row r="132" spans="11: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134"/>
    </row>
    <row r="133" spans="11: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134"/>
    </row>
    <row r="134" spans="11: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134"/>
    </row>
    <row r="135" spans="11: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134"/>
    </row>
    <row r="136" spans="11: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134"/>
    </row>
    <row r="137" spans="11: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134"/>
    </row>
    <row r="138" spans="11: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134"/>
    </row>
    <row r="139" spans="11: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134"/>
    </row>
    <row r="140" spans="11: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134"/>
    </row>
    <row r="141" spans="11: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134"/>
    </row>
    <row r="142" spans="11: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134"/>
    </row>
    <row r="143" spans="11: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134"/>
    </row>
    <row r="144" spans="11: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134"/>
    </row>
    <row r="145" spans="11: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134"/>
    </row>
    <row r="146" spans="11: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134"/>
    </row>
    <row r="147" spans="11: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134"/>
    </row>
    <row r="148" spans="11: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134"/>
    </row>
    <row r="149" spans="11: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134"/>
    </row>
    <row r="150" spans="11: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134"/>
    </row>
    <row r="151" spans="11: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134"/>
    </row>
    <row r="152" spans="11: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134"/>
    </row>
    <row r="153" spans="11: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134"/>
    </row>
    <row r="154" spans="11: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134"/>
    </row>
    <row r="155" spans="11: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134"/>
    </row>
    <row r="156" spans="11: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134"/>
    </row>
    <row r="157" spans="11: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134"/>
    </row>
    <row r="158" spans="11: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134"/>
    </row>
    <row r="159" spans="11: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134"/>
    </row>
    <row r="160" spans="11: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134"/>
    </row>
    <row r="161" spans="11: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134"/>
    </row>
    <row r="162" spans="11: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134"/>
    </row>
    <row r="163" spans="11: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134"/>
    </row>
    <row r="164" spans="11: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134"/>
    </row>
    <row r="165" spans="11: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134"/>
    </row>
    <row r="166" spans="11: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134"/>
    </row>
    <row r="167" spans="11: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134"/>
    </row>
    <row r="168" spans="11: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134"/>
    </row>
    <row r="169" spans="11: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134"/>
    </row>
    <row r="170" spans="11: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134"/>
    </row>
    <row r="171" spans="11: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134"/>
    </row>
    <row r="172" spans="11: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134"/>
    </row>
    <row r="173" spans="11: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134"/>
    </row>
    <row r="174" spans="11: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134"/>
    </row>
    <row r="175" spans="11: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134"/>
    </row>
    <row r="176" spans="11: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134"/>
    </row>
    <row r="177" spans="11: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134"/>
    </row>
    <row r="178" spans="11: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134"/>
    </row>
    <row r="179" spans="11: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134"/>
    </row>
    <row r="180" spans="11: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134"/>
    </row>
    <row r="181" spans="11: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134"/>
    </row>
    <row r="182" spans="11: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134"/>
    </row>
    <row r="183" spans="11: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134"/>
    </row>
    <row r="184" spans="11: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134"/>
    </row>
    <row r="185" spans="11: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134"/>
    </row>
    <row r="186" spans="11: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134"/>
    </row>
    <row r="187" spans="11: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134"/>
    </row>
    <row r="188" spans="11: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134"/>
    </row>
    <row r="189" spans="11: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134"/>
    </row>
    <row r="190" spans="11: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134"/>
    </row>
    <row r="191" spans="11: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134"/>
    </row>
    <row r="192" spans="11: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134"/>
    </row>
    <row r="193" spans="11: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134"/>
    </row>
    <row r="194" spans="11: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134"/>
    </row>
    <row r="195" spans="11: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134"/>
    </row>
    <row r="196" spans="11: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134"/>
    </row>
    <row r="197" spans="11: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134"/>
    </row>
    <row r="198" spans="11: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134"/>
    </row>
    <row r="199" spans="11: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134"/>
    </row>
    <row r="200" spans="11: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134"/>
    </row>
    <row r="201" spans="11: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134"/>
    </row>
    <row r="202" spans="11: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134"/>
    </row>
    <row r="203" spans="11: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134"/>
    </row>
    <row r="204" spans="11: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134"/>
    </row>
    <row r="205" spans="11: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134"/>
    </row>
    <row r="206" spans="11: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134"/>
    </row>
    <row r="207" spans="11: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134"/>
    </row>
    <row r="208" spans="11: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134"/>
    </row>
    <row r="209" spans="11: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134"/>
    </row>
    <row r="210" spans="11: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134"/>
    </row>
    <row r="211" spans="11: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134"/>
    </row>
    <row r="212" spans="11: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134"/>
    </row>
    <row r="213" spans="11: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134"/>
    </row>
    <row r="214" spans="11: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134"/>
    </row>
    <row r="215" spans="11: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134"/>
    </row>
    <row r="216" spans="11: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134"/>
    </row>
    <row r="217" spans="11: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134"/>
    </row>
    <row r="218" spans="11: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134"/>
    </row>
    <row r="219" spans="11: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134"/>
    </row>
    <row r="220" spans="11: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134"/>
    </row>
  </sheetData>
  <sheetProtection algorithmName="SHA-512" hashValue="6OoE8wehrcBOsu1Td+KC+QbROwPzJ59LXFhmGStV6CstUKZQn8H2sOA6QqcXIREMeRs5J2yXy2D7Y2cTovSNZQ==" saltValue="RgU5EqfSMh7YvL4nzWI+1w==" spinCount="100000" sheet="1" objects="1" scenarios="1"/>
  <conditionalFormatting sqref="K10:AG10">
    <cfRule type="cellIs" dxfId="0" priority="1" operator="equal">
      <formula>1</formula>
    </cfRule>
  </conditionalFormatting>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C2:AH102"/>
  <sheetViews>
    <sheetView showGridLines="0" zoomScale="55" zoomScaleNormal="55" workbookViewId="0">
      <pane xSplit="2" ySplit="9" topLeftCell="C70" activePane="bottomRight" state="frozen"/>
      <selection pane="bottomRight" activeCell="L88" sqref="L88"/>
      <selection pane="bottomLeft" activeCell="A10" sqref="A10"/>
      <selection pane="topRight" activeCell="C1" sqref="C1"/>
    </sheetView>
  </sheetViews>
  <sheetFormatPr defaultColWidth="8.7109375" defaultRowHeight="14.25"/>
  <cols>
    <col min="1" max="1" width="3.5703125" customWidth="1"/>
    <col min="2" max="2" width="2.85546875" customWidth="1"/>
    <col min="3" max="3" width="7.42578125" customWidth="1"/>
    <col min="4" max="4" width="21.42578125" customWidth="1"/>
    <col min="5" max="5" width="26" customWidth="1"/>
    <col min="6" max="6" width="3" customWidth="1"/>
    <col min="7" max="7" width="12" customWidth="1"/>
    <col min="10" max="10" width="14.140625" customWidth="1"/>
    <col min="11" max="33" width="10" customWidth="1"/>
    <col min="34" max="34" width="1.5703125" style="277" customWidth="1"/>
  </cols>
  <sheetData>
    <row r="2" spans="3:33" ht="33" customHeight="1">
      <c r="C2" s="318"/>
    </row>
    <row r="3" spans="3:33" ht="15" customHeight="1">
      <c r="C3" s="88" t="s">
        <v>567</v>
      </c>
      <c r="D3" s="323" t="str">
        <f>'Control Panel'!D7&amp;":"&amp;'Control Panel'!D6</f>
        <v>Cascade geothermal:Base</v>
      </c>
    </row>
    <row r="6" spans="3:33" ht="15" customHeight="1">
      <c r="E6" s="317"/>
      <c r="J6" s="317" t="s">
        <v>837</v>
      </c>
      <c r="K6" s="365">
        <f>Dates!O2</f>
        <v>46388</v>
      </c>
      <c r="L6" s="366">
        <f>Dates!P2</f>
        <v>46753</v>
      </c>
      <c r="M6" s="366">
        <f>Dates!Q2</f>
        <v>47119</v>
      </c>
      <c r="N6" s="366">
        <f>Dates!R2</f>
        <v>47484</v>
      </c>
      <c r="O6" s="366">
        <f>Dates!S2</f>
        <v>47849</v>
      </c>
      <c r="P6" s="366">
        <f>Dates!T2</f>
        <v>48214</v>
      </c>
      <c r="Q6" s="366">
        <f>Dates!U2</f>
        <v>48580</v>
      </c>
      <c r="R6" s="366">
        <f>Dates!V2</f>
        <v>48945</v>
      </c>
      <c r="S6" s="366">
        <f>Dates!W2</f>
        <v>49310</v>
      </c>
      <c r="T6" s="366">
        <f>Dates!X2</f>
        <v>49675</v>
      </c>
      <c r="U6" s="366">
        <f>Dates!Y2</f>
        <v>50041</v>
      </c>
      <c r="V6" s="366">
        <f>Dates!Z2</f>
        <v>50406</v>
      </c>
      <c r="W6" s="366">
        <f>Dates!AA2</f>
        <v>50771</v>
      </c>
      <c r="X6" s="366">
        <f>Dates!AB2</f>
        <v>51136</v>
      </c>
      <c r="Y6" s="366">
        <f>Dates!AC2</f>
        <v>51502</v>
      </c>
      <c r="Z6" s="366">
        <f>Dates!AD2</f>
        <v>51867</v>
      </c>
      <c r="AA6" s="366">
        <f>Dates!AE2</f>
        <v>52232</v>
      </c>
      <c r="AB6" s="366">
        <f>Dates!AF2</f>
        <v>52597</v>
      </c>
      <c r="AC6" s="366">
        <f>Dates!AG2</f>
        <v>52963</v>
      </c>
      <c r="AD6" s="366">
        <f>Dates!AH2</f>
        <v>53328</v>
      </c>
      <c r="AE6" s="366">
        <f>Dates!AI2</f>
        <v>53693</v>
      </c>
      <c r="AF6" s="366">
        <f>Dates!AJ2</f>
        <v>54058</v>
      </c>
      <c r="AG6" s="366">
        <f>Dates!AK2</f>
        <v>54424</v>
      </c>
    </row>
    <row r="7" spans="3:33" ht="15" customHeight="1">
      <c r="E7" s="317"/>
      <c r="J7" s="317" t="s">
        <v>838</v>
      </c>
      <c r="K7" s="367">
        <f>Dates!O3</f>
        <v>46752</v>
      </c>
      <c r="L7" s="368">
        <f>Dates!P3</f>
        <v>47118</v>
      </c>
      <c r="M7" s="368">
        <f>Dates!Q3</f>
        <v>47483</v>
      </c>
      <c r="N7" s="368">
        <f>Dates!R3</f>
        <v>47848</v>
      </c>
      <c r="O7" s="368">
        <f>Dates!S3</f>
        <v>48213</v>
      </c>
      <c r="P7" s="368">
        <f>Dates!T3</f>
        <v>48579</v>
      </c>
      <c r="Q7" s="368">
        <f>Dates!U3</f>
        <v>48944</v>
      </c>
      <c r="R7" s="368">
        <f>Dates!V3</f>
        <v>49309</v>
      </c>
      <c r="S7" s="368">
        <f>Dates!W3</f>
        <v>49674</v>
      </c>
      <c r="T7" s="368">
        <f>Dates!X3</f>
        <v>50040</v>
      </c>
      <c r="U7" s="368">
        <f>Dates!Y3</f>
        <v>50405</v>
      </c>
      <c r="V7" s="368">
        <f>Dates!Z3</f>
        <v>50770</v>
      </c>
      <c r="W7" s="368">
        <f>Dates!AA3</f>
        <v>51135</v>
      </c>
      <c r="X7" s="368">
        <f>Dates!AB3</f>
        <v>51501</v>
      </c>
      <c r="Y7" s="368">
        <f>Dates!AC3</f>
        <v>51866</v>
      </c>
      <c r="Z7" s="368">
        <f>Dates!AD3</f>
        <v>52231</v>
      </c>
      <c r="AA7" s="368">
        <f>Dates!AE3</f>
        <v>52596</v>
      </c>
      <c r="AB7" s="368">
        <f>Dates!AF3</f>
        <v>52962</v>
      </c>
      <c r="AC7" s="368">
        <f>Dates!AG3</f>
        <v>53327</v>
      </c>
      <c r="AD7" s="368">
        <f>Dates!AH3</f>
        <v>53692</v>
      </c>
      <c r="AE7" s="368">
        <f>Dates!AI3</f>
        <v>54057</v>
      </c>
      <c r="AF7" s="368">
        <f>Dates!AJ3</f>
        <v>54423</v>
      </c>
      <c r="AG7" s="368">
        <f>Dates!AK3</f>
        <v>54788</v>
      </c>
    </row>
    <row r="8" spans="3:33" ht="15" customHeight="1">
      <c r="C8" s="346" t="s">
        <v>839</v>
      </c>
      <c r="D8" s="346"/>
      <c r="E8" s="317"/>
      <c r="J8" s="317" t="s">
        <v>101</v>
      </c>
      <c r="K8" s="369">
        <f>Dates!O4</f>
        <v>2027</v>
      </c>
      <c r="L8" s="370">
        <f>Dates!P4</f>
        <v>2028</v>
      </c>
      <c r="M8" s="370">
        <f>Dates!Q4</f>
        <v>2029</v>
      </c>
      <c r="N8" s="370">
        <f>Dates!R4</f>
        <v>2030</v>
      </c>
      <c r="O8" s="370">
        <f>Dates!S4</f>
        <v>2031</v>
      </c>
      <c r="P8" s="370">
        <f>Dates!T4</f>
        <v>2032</v>
      </c>
      <c r="Q8" s="370">
        <f>Dates!U4</f>
        <v>2033</v>
      </c>
      <c r="R8" s="370">
        <f>Dates!V4</f>
        <v>2034</v>
      </c>
      <c r="S8" s="370">
        <f>Dates!W4</f>
        <v>2035</v>
      </c>
      <c r="T8" s="370">
        <f>Dates!X4</f>
        <v>2036</v>
      </c>
      <c r="U8" s="370">
        <f>Dates!Y4</f>
        <v>2037</v>
      </c>
      <c r="V8" s="370">
        <f>Dates!Z4</f>
        <v>2038</v>
      </c>
      <c r="W8" s="370">
        <f>Dates!AA4</f>
        <v>2039</v>
      </c>
      <c r="X8" s="370">
        <f>Dates!AB4</f>
        <v>2040</v>
      </c>
      <c r="Y8" s="370">
        <f>Dates!AC4</f>
        <v>2041</v>
      </c>
      <c r="Z8" s="370">
        <f>Dates!AD4</f>
        <v>2042</v>
      </c>
      <c r="AA8" s="370">
        <f>Dates!AE4</f>
        <v>2043</v>
      </c>
      <c r="AB8" s="370">
        <f>Dates!AF4</f>
        <v>2044</v>
      </c>
      <c r="AC8" s="370">
        <f>Dates!AG4</f>
        <v>2045</v>
      </c>
      <c r="AD8" s="370">
        <f>Dates!AH4</f>
        <v>2046</v>
      </c>
      <c r="AE8" s="370">
        <f>Dates!AI4</f>
        <v>2047</v>
      </c>
      <c r="AF8" s="370">
        <f>Dates!AJ4</f>
        <v>2048</v>
      </c>
      <c r="AG8" s="370">
        <f>Dates!AK4</f>
        <v>2049</v>
      </c>
    </row>
    <row r="9" spans="3:33" ht="15" customHeight="1">
      <c r="E9" s="317"/>
      <c r="J9" s="317" t="s">
        <v>570</v>
      </c>
      <c r="K9" s="371">
        <f>Dates!O8</f>
        <v>0</v>
      </c>
      <c r="L9" s="372">
        <f>Dates!P8</f>
        <v>1</v>
      </c>
      <c r="M9" s="372">
        <f>Dates!Q8</f>
        <v>2</v>
      </c>
      <c r="N9" s="372">
        <f>Dates!R8</f>
        <v>3</v>
      </c>
      <c r="O9" s="372">
        <f>Dates!S8</f>
        <v>4</v>
      </c>
      <c r="P9" s="372">
        <f>Dates!T8</f>
        <v>5</v>
      </c>
      <c r="Q9" s="372">
        <f>Dates!U8</f>
        <v>6</v>
      </c>
      <c r="R9" s="372">
        <f>Dates!V8</f>
        <v>7</v>
      </c>
      <c r="S9" s="372">
        <f>Dates!W8</f>
        <v>8</v>
      </c>
      <c r="T9" s="372">
        <f>Dates!X8</f>
        <v>9</v>
      </c>
      <c r="U9" s="372">
        <f>Dates!Y8</f>
        <v>10</v>
      </c>
      <c r="V9" s="372">
        <f>Dates!Z8</f>
        <v>11</v>
      </c>
      <c r="W9" s="372">
        <f>Dates!AA8</f>
        <v>12</v>
      </c>
      <c r="X9" s="372">
        <f>Dates!AB8</f>
        <v>13</v>
      </c>
      <c r="Y9" s="372">
        <f>Dates!AC8</f>
        <v>14</v>
      </c>
      <c r="Z9" s="372">
        <f>Dates!AD8</f>
        <v>15</v>
      </c>
      <c r="AA9" s="372">
        <f>Dates!AE8</f>
        <v>16</v>
      </c>
      <c r="AB9" s="372">
        <f>Dates!AF8</f>
        <v>17</v>
      </c>
      <c r="AC9" s="372">
        <f>Dates!AG8</f>
        <v>18</v>
      </c>
      <c r="AD9" s="372">
        <f>Dates!AH8</f>
        <v>19</v>
      </c>
      <c r="AE9" s="372">
        <f>Dates!AI8</f>
        <v>20</v>
      </c>
      <c r="AF9" s="372">
        <f>Dates!AJ8</f>
        <v>21</v>
      </c>
      <c r="AG9" s="372">
        <f>Dates!AK8</f>
        <v>22</v>
      </c>
    </row>
    <row r="60" spans="3:33" ht="15" customHeight="1">
      <c r="C60" s="87" t="s">
        <v>840</v>
      </c>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row>
    <row r="62" spans="3:33" ht="15" customHeight="1">
      <c r="E62" s="317" t="s">
        <v>841</v>
      </c>
      <c r="K62" s="373">
        <f t="shared" ref="K62:AG62" si="0">K8</f>
        <v>2027</v>
      </c>
      <c r="L62" s="373">
        <f t="shared" si="0"/>
        <v>2028</v>
      </c>
      <c r="M62" s="373">
        <f t="shared" si="0"/>
        <v>2029</v>
      </c>
      <c r="N62" s="373">
        <f t="shared" si="0"/>
        <v>2030</v>
      </c>
      <c r="O62" s="373">
        <f t="shared" si="0"/>
        <v>2031</v>
      </c>
      <c r="P62" s="373">
        <f t="shared" si="0"/>
        <v>2032</v>
      </c>
      <c r="Q62" s="373">
        <f t="shared" si="0"/>
        <v>2033</v>
      </c>
      <c r="R62" s="373">
        <f t="shared" si="0"/>
        <v>2034</v>
      </c>
      <c r="S62" s="373">
        <f t="shared" si="0"/>
        <v>2035</v>
      </c>
      <c r="T62" s="373">
        <f t="shared" si="0"/>
        <v>2036</v>
      </c>
      <c r="U62" s="373">
        <f t="shared" si="0"/>
        <v>2037</v>
      </c>
      <c r="V62" s="373">
        <f t="shared" si="0"/>
        <v>2038</v>
      </c>
      <c r="W62" s="373">
        <f t="shared" si="0"/>
        <v>2039</v>
      </c>
      <c r="X62" s="373">
        <f t="shared" si="0"/>
        <v>2040</v>
      </c>
      <c r="Y62" s="373">
        <f t="shared" si="0"/>
        <v>2041</v>
      </c>
      <c r="Z62" s="373">
        <f t="shared" si="0"/>
        <v>2042</v>
      </c>
      <c r="AA62" s="373">
        <f t="shared" si="0"/>
        <v>2043</v>
      </c>
      <c r="AB62" s="373">
        <f t="shared" si="0"/>
        <v>2044</v>
      </c>
      <c r="AC62" s="373">
        <f t="shared" si="0"/>
        <v>2045</v>
      </c>
      <c r="AD62" s="373">
        <f t="shared" si="0"/>
        <v>2046</v>
      </c>
      <c r="AE62" s="373">
        <f t="shared" si="0"/>
        <v>2047</v>
      </c>
      <c r="AF62" s="373">
        <f t="shared" si="0"/>
        <v>2048</v>
      </c>
      <c r="AG62" s="373">
        <f t="shared" si="0"/>
        <v>2049</v>
      </c>
    </row>
    <row r="64" spans="3:33" ht="15" customHeight="1">
      <c r="C64" s="87" t="s">
        <v>842</v>
      </c>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row>
    <row r="65" spans="3:33" ht="15" customHeight="1">
      <c r="E65" s="88" t="s">
        <v>576</v>
      </c>
      <c r="G65" s="374">
        <f>Construction!$G$15</f>
        <v>252000</v>
      </c>
    </row>
    <row r="66" spans="3:33" ht="15" customHeight="1">
      <c r="E66" s="88" t="s">
        <v>843</v>
      </c>
      <c r="G66" s="374">
        <f>Construction!$G$16</f>
        <v>24004.32</v>
      </c>
    </row>
    <row r="67" spans="3:33" ht="15" customHeight="1">
      <c r="E67" s="88" t="s">
        <v>844</v>
      </c>
      <c r="G67" s="374">
        <f>Construction!$G$17</f>
        <v>0</v>
      </c>
    </row>
    <row r="68" spans="3:33" ht="15" customHeight="1">
      <c r="E68" s="88" t="s">
        <v>578</v>
      </c>
      <c r="G68" s="374">
        <f>Construction!$G$18</f>
        <v>0</v>
      </c>
    </row>
    <row r="69" spans="3:33" ht="15" customHeight="1">
      <c r="E69" s="88" t="s">
        <v>579</v>
      </c>
      <c r="G69" s="374">
        <f>Construction!$G$19</f>
        <v>80000</v>
      </c>
    </row>
    <row r="70" spans="3:33" ht="15" customHeight="1">
      <c r="E70" s="88" t="s">
        <v>580</v>
      </c>
      <c r="G70" s="374">
        <f>Construction!$G$20</f>
        <v>0</v>
      </c>
    </row>
    <row r="71" spans="3:33" ht="15" customHeight="1">
      <c r="E71" s="88" t="s">
        <v>845</v>
      </c>
      <c r="G71" s="374">
        <f>Construction!$G$27</f>
        <v>112500</v>
      </c>
    </row>
    <row r="72" spans="3:33" ht="15" customHeight="1">
      <c r="E72" s="88" t="s">
        <v>846</v>
      </c>
      <c r="G72" s="374">
        <f>Construction!$G$29</f>
        <v>60000</v>
      </c>
    </row>
    <row r="73" spans="3:33" ht="15" customHeight="1">
      <c r="E73" s="88" t="s">
        <v>597</v>
      </c>
      <c r="G73" s="374">
        <f>Construction!$G$39+Construction!$G$40</f>
        <v>105930.77760000002</v>
      </c>
    </row>
    <row r="75" spans="3:33" ht="15" customHeight="1">
      <c r="C75" s="87" t="s">
        <v>847</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row>
    <row r="76" spans="3:33" ht="15" customHeight="1">
      <c r="E76" s="88" t="s">
        <v>75</v>
      </c>
      <c r="G76" s="374">
        <f>Operations!$N$80</f>
        <v>25508.541875701623</v>
      </c>
    </row>
    <row r="77" spans="3:33" ht="15" customHeight="1">
      <c r="E77" s="88" t="s">
        <v>637</v>
      </c>
      <c r="G77" s="374">
        <f>Operations!$N$81</f>
        <v>6367.2479999999996</v>
      </c>
    </row>
    <row r="78" spans="3:33" ht="15" customHeight="1">
      <c r="E78" s="88" t="s">
        <v>848</v>
      </c>
      <c r="G78" s="374">
        <f>Operations!$N$82</f>
        <v>18981.752561247878</v>
      </c>
    </row>
    <row r="79" spans="3:33" ht="15" customHeight="1">
      <c r="E79" s="88" t="s">
        <v>663</v>
      </c>
      <c r="G79" s="374">
        <f>Operations!$N$83</f>
        <v>8746.9093088639984</v>
      </c>
    </row>
    <row r="80" spans="3:33" ht="15" customHeight="1">
      <c r="E80" s="88" t="s">
        <v>849</v>
      </c>
      <c r="G80" s="374">
        <f>Operations!$N$84</f>
        <v>0</v>
      </c>
    </row>
    <row r="82" spans="3:33" ht="15" customHeight="1">
      <c r="C82" s="87" t="s">
        <v>850</v>
      </c>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row>
    <row r="83" spans="3:33" ht="15" customHeight="1">
      <c r="E83" s="88" t="s">
        <v>851</v>
      </c>
      <c r="K83" s="375">
        <f>Operations!K26</f>
        <v>0</v>
      </c>
      <c r="L83" s="375">
        <f>Operations!L26</f>
        <v>0</v>
      </c>
      <c r="M83" s="375">
        <f>Operations!M26</f>
        <v>0</v>
      </c>
      <c r="N83" s="375">
        <f>Operations!N26</f>
        <v>1643.2978612800002</v>
      </c>
      <c r="O83" s="375">
        <f>Operations!O26</f>
        <v>1640.0112655574403</v>
      </c>
      <c r="P83" s="375">
        <f>Operations!P26</f>
        <v>1636.7312430263253</v>
      </c>
      <c r="Q83" s="375">
        <f>Operations!Q26</f>
        <v>1633.4577805402728</v>
      </c>
      <c r="R83" s="375">
        <f>Operations!R26</f>
        <v>1630.1908649791922</v>
      </c>
      <c r="S83" s="375">
        <f>Operations!S26</f>
        <v>1626.9304832492337</v>
      </c>
      <c r="T83" s="375">
        <f>Operations!T26</f>
        <v>1623.6766222827353</v>
      </c>
      <c r="U83" s="375">
        <f>Operations!U26</f>
        <v>1620.4292690381699</v>
      </c>
      <c r="V83" s="375">
        <f>Operations!V26</f>
        <v>1617.1884105000936</v>
      </c>
      <c r="W83" s="375">
        <f>Operations!W26</f>
        <v>1613.9540336790933</v>
      </c>
      <c r="X83" s="375">
        <f>Operations!X26</f>
        <v>1610.7261256117351</v>
      </c>
      <c r="Y83" s="375">
        <f>Operations!Y26</f>
        <v>1607.5046733605118</v>
      </c>
      <c r="Z83" s="375">
        <f>Operations!Z26</f>
        <v>1604.2896640137908</v>
      </c>
      <c r="AA83" s="375">
        <f>Operations!AA26</f>
        <v>1601.081084685763</v>
      </c>
      <c r="AB83" s="375">
        <f>Operations!AB26</f>
        <v>1597.8789225163916</v>
      </c>
      <c r="AC83" s="375">
        <f>Operations!AC26</f>
        <v>1594.683164671359</v>
      </c>
      <c r="AD83" s="375">
        <f>Operations!AD26</f>
        <v>1591.4937983420161</v>
      </c>
      <c r="AE83" s="375">
        <f>Operations!AE26</f>
        <v>1588.3108107453322</v>
      </c>
      <c r="AF83" s="375">
        <f>Operations!AF26</f>
        <v>1585.1341891238415</v>
      </c>
      <c r="AG83" s="375">
        <f>Operations!AG26</f>
        <v>1581.9639207455939</v>
      </c>
    </row>
    <row r="84" spans="3:33" ht="15" customHeight="1">
      <c r="E84" s="88" t="s">
        <v>852</v>
      </c>
      <c r="K84" s="375">
        <f>Operations!K27</f>
        <v>0</v>
      </c>
      <c r="L84" s="375">
        <f>Operations!L27</f>
        <v>0</v>
      </c>
      <c r="M84" s="375">
        <f>Operations!M27</f>
        <v>0</v>
      </c>
      <c r="N84" s="375">
        <f>Operations!N27</f>
        <v>256.70213871999977</v>
      </c>
      <c r="O84" s="375">
        <f>Operations!O27</f>
        <v>259.98873444255969</v>
      </c>
      <c r="P84" s="375">
        <f>Operations!P27</f>
        <v>263.26875697367473</v>
      </c>
      <c r="Q84" s="375">
        <f>Operations!Q27</f>
        <v>266.54221945972722</v>
      </c>
      <c r="R84" s="375">
        <f>Operations!R27</f>
        <v>269.80913502080784</v>
      </c>
      <c r="S84" s="375">
        <f>Operations!S27</f>
        <v>273.0695167507663</v>
      </c>
      <c r="T84" s="375">
        <f>Operations!T27</f>
        <v>276.32337771726475</v>
      </c>
      <c r="U84" s="375">
        <f>Operations!U27</f>
        <v>279.57073096183012</v>
      </c>
      <c r="V84" s="375">
        <f>Operations!V27</f>
        <v>282.8115894999064</v>
      </c>
      <c r="W84" s="375">
        <f>Operations!W27</f>
        <v>286.0459663209067</v>
      </c>
      <c r="X84" s="375">
        <f>Operations!X27</f>
        <v>289.27387438826486</v>
      </c>
      <c r="Y84" s="375">
        <f>Operations!Y27</f>
        <v>292.49532663948821</v>
      </c>
      <c r="Z84" s="375">
        <f>Operations!Z27</f>
        <v>295.7103359862092</v>
      </c>
      <c r="AA84" s="375">
        <f>Operations!AA27</f>
        <v>298.91891531423698</v>
      </c>
      <c r="AB84" s="375">
        <f>Operations!AB27</f>
        <v>302.12107748360836</v>
      </c>
      <c r="AC84" s="375">
        <f>Operations!AC27</f>
        <v>305.31683532864099</v>
      </c>
      <c r="AD84" s="375">
        <f>Operations!AD27</f>
        <v>308.50620165798387</v>
      </c>
      <c r="AE84" s="375">
        <f>Operations!AE27</f>
        <v>311.68918925466778</v>
      </c>
      <c r="AF84" s="375">
        <f>Operations!AF27</f>
        <v>314.86581087615855</v>
      </c>
      <c r="AG84" s="375">
        <f>Operations!AG27</f>
        <v>318.0360792544061</v>
      </c>
    </row>
    <row r="86" spans="3:33" ht="15" customHeight="1">
      <c r="C86" s="87" t="s">
        <v>853</v>
      </c>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row>
    <row r="87" spans="3:33" ht="15" customHeight="1">
      <c r="E87" s="88" t="s">
        <v>854</v>
      </c>
      <c r="K87" s="375">
        <f>FS!K17</f>
        <v>0</v>
      </c>
      <c r="L87" s="375">
        <f>FS!L17</f>
        <v>0</v>
      </c>
      <c r="M87" s="375">
        <f>FS!M17</f>
        <v>0</v>
      </c>
      <c r="N87" s="375">
        <f>FS!N17</f>
        <v>65841.451208973405</v>
      </c>
      <c r="O87" s="375">
        <f>FS!O17</f>
        <v>67681.061355752114</v>
      </c>
      <c r="P87" s="375">
        <f>FS!P17</f>
        <v>69572.070210031816</v>
      </c>
      <c r="Q87" s="375">
        <f>FS!Q17</f>
        <v>71515.913851700112</v>
      </c>
      <c r="R87" s="375">
        <f>FS!R17</f>
        <v>73514.068484716612</v>
      </c>
      <c r="S87" s="375">
        <f>FS!S17</f>
        <v>75568.051558179592</v>
      </c>
      <c r="T87" s="375">
        <f>FS!T17</f>
        <v>77679.422918715121</v>
      </c>
      <c r="U87" s="375">
        <f>FS!U17</f>
        <v>79849.785995064027</v>
      </c>
      <c r="V87" s="375">
        <f>FS!V17</f>
        <v>82080.789015766131</v>
      </c>
      <c r="W87" s="375">
        <f>FS!W17</f>
        <v>84374.1262608666</v>
      </c>
      <c r="X87" s="375">
        <f>FS!X17</f>
        <v>86731.539348595223</v>
      </c>
      <c r="Y87" s="375">
        <f>FS!Y17</f>
        <v>89154.818557994979</v>
      </c>
      <c r="Z87" s="375">
        <f>FS!Z17</f>
        <v>91645.804188505368</v>
      </c>
      <c r="AA87" s="375">
        <f>FS!AA17</f>
        <v>94206.387957532192</v>
      </c>
      <c r="AB87" s="375">
        <f>FS!AB17</f>
        <v>96838.514437065649</v>
      </c>
      <c r="AC87" s="375">
        <f>FS!AC17</f>
        <v>99544.182530437261</v>
      </c>
      <c r="AD87" s="375">
        <f>FS!AD17</f>
        <v>102325.44699033769</v>
      </c>
      <c r="AE87" s="375">
        <f>FS!AE17</f>
        <v>105184.4199792477</v>
      </c>
      <c r="AF87" s="375">
        <f>FS!AF17</f>
        <v>108123.27267346786</v>
      </c>
      <c r="AG87" s="375">
        <f>FS!AG17</f>
        <v>111144.23691196457</v>
      </c>
    </row>
    <row r="88" spans="3:33" ht="15" customHeight="1">
      <c r="E88" s="88" t="s">
        <v>855</v>
      </c>
      <c r="K88" s="375">
        <f>FS!K16</f>
        <v>0</v>
      </c>
      <c r="L88" s="375">
        <f>FS!L16</f>
        <v>0</v>
      </c>
      <c r="M88" s="375">
        <f>FS!M16</f>
        <v>0</v>
      </c>
      <c r="N88" s="375">
        <f>FS!N16</f>
        <v>62359.942261887321</v>
      </c>
      <c r="O88" s="375">
        <f>FS!O16</f>
        <v>64034.871116524453</v>
      </c>
      <c r="P88" s="375">
        <f>FS!P16</f>
        <v>65755.249324716948</v>
      </c>
      <c r="Q88" s="375">
        <f>FS!Q16</f>
        <v>67522.319778230274</v>
      </c>
      <c r="R88" s="375">
        <f>FS!R16</f>
        <v>69337.359555962379</v>
      </c>
      <c r="S88" s="375">
        <f>FS!S16</f>
        <v>71201.680868346884</v>
      </c>
      <c r="T88" s="375">
        <f>FS!T16</f>
        <v>73116.632027927233</v>
      </c>
      <c r="U88" s="375">
        <f>FS!U16</f>
        <v>75083.598446828633</v>
      </c>
      <c r="V88" s="375">
        <f>FS!V16</f>
        <v>77104.003661874958</v>
      </c>
      <c r="W88" s="375">
        <f>FS!W16</f>
        <v>79179.310388118523</v>
      </c>
      <c r="X88" s="375">
        <f>FS!X16</f>
        <v>81311.02160157192</v>
      </c>
      <c r="Y88" s="375">
        <f>FS!Y16</f>
        <v>83500.681651953433</v>
      </c>
      <c r="Z88" s="375">
        <f>FS!Z16</f>
        <v>85749.877406279251</v>
      </c>
      <c r="AA88" s="375">
        <f>FS!AA16</f>
        <v>88060.239424160332</v>
      </c>
      <c r="AB88" s="375">
        <f>FS!AB16</f>
        <v>90433.443165684002</v>
      </c>
      <c r="AC88" s="375">
        <f>FS!AC16</f>
        <v>92871.210232786136</v>
      </c>
      <c r="AD88" s="375">
        <f>FS!AD16</f>
        <v>95375.309645044137</v>
      </c>
      <c r="AE88" s="375">
        <f>FS!AE16</f>
        <v>97947.559150847694</v>
      </c>
      <c r="AF88" s="375">
        <f>FS!AF16</f>
        <v>100589.82657492983</v>
      </c>
      <c r="AG88" s="375">
        <f>FS!AG16</f>
        <v>103304.03120326898</v>
      </c>
    </row>
    <row r="90" spans="3:33" ht="15" customHeight="1">
      <c r="C90" s="87" t="s">
        <v>856</v>
      </c>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row>
    <row r="91" spans="3:33" ht="15" customHeight="1">
      <c r="E91" s="88" t="s">
        <v>83</v>
      </c>
      <c r="K91" s="375">
        <f>FS!K19</f>
        <v>0</v>
      </c>
      <c r="L91" s="375">
        <f>FS!L19</f>
        <v>0</v>
      </c>
      <c r="M91" s="375">
        <f>FS!M19</f>
        <v>0</v>
      </c>
      <c r="N91" s="375">
        <f>FS!N19</f>
        <v>68596.941725047218</v>
      </c>
      <c r="O91" s="375">
        <f>FS!O19</f>
        <v>70545.095744079095</v>
      </c>
      <c r="P91" s="375">
        <f>FS!P19</f>
        <v>72548.131453004884</v>
      </c>
      <c r="Q91" s="375">
        <f>FS!Q19</f>
        <v>74607.582445353226</v>
      </c>
      <c r="R91" s="375">
        <f>FS!R19</f>
        <v>76725.024824754102</v>
      </c>
      <c r="S91" s="375">
        <f>FS!S19</f>
        <v>78902.078373805969</v>
      </c>
      <c r="T91" s="375">
        <f>FS!T19</f>
        <v>81140.407754818749</v>
      </c>
      <c r="U91" s="375">
        <f>FS!U19</f>
        <v>83441.723743293682</v>
      </c>
      <c r="V91" s="375">
        <f>FS!V19</f>
        <v>85807.784495025597</v>
      </c>
      <c r="W91" s="375">
        <f>FS!W19</f>
        <v>88240.396847735639</v>
      </c>
      <c r="X91" s="375">
        <f>FS!X19</f>
        <v>90741.417658167891</v>
      </c>
      <c r="Y91" s="375">
        <f>FS!Y19</f>
        <v>93312.755175607221</v>
      </c>
      <c r="Z91" s="375">
        <f>FS!Z19</f>
        <v>95956.370452801973</v>
      </c>
      <c r="AA91" s="375">
        <f>FS!AA19</f>
        <v>98674.278795301463</v>
      </c>
      <c r="AB91" s="375">
        <f>FS!AB19</f>
        <v>101468.55125024536</v>
      </c>
      <c r="AC91" s="375">
        <f>FS!AC19</f>
        <v>104341.31613566855</v>
      </c>
      <c r="AD91" s="375">
        <f>FS!AD19</f>
        <v>107294.76061141508</v>
      </c>
      <c r="AE91" s="375">
        <f>FS!AE19</f>
        <v>110331.13229278354</v>
      </c>
      <c r="AF91" s="375">
        <f>FS!AF19</f>
        <v>113452.74090805593</v>
      </c>
      <c r="AG91" s="375">
        <f>FS!AG19</f>
        <v>116661.96000109207</v>
      </c>
    </row>
    <row r="92" spans="3:33" ht="15" customHeight="1">
      <c r="E92" s="88" t="s">
        <v>87</v>
      </c>
      <c r="K92" s="375">
        <f>FS!K25</f>
        <v>0</v>
      </c>
      <c r="L92" s="375">
        <f>FS!L25</f>
        <v>0</v>
      </c>
      <c r="M92" s="375">
        <f>FS!M25</f>
        <v>0</v>
      </c>
      <c r="N92" s="375">
        <f>FS!N25</f>
        <v>13074.456435301225</v>
      </c>
      <c r="O92" s="375">
        <f>FS!O25</f>
        <v>18571.278511939548</v>
      </c>
      <c r="P92" s="375">
        <f>FS!P25</f>
        <v>23652.988403702238</v>
      </c>
      <c r="Q92" s="375">
        <f>FS!Q25</f>
        <v>28429.502863276997</v>
      </c>
      <c r="R92" s="375">
        <f>FS!R25</f>
        <v>32989.967584673286</v>
      </c>
      <c r="S92" s="375">
        <f>FS!S25</f>
        <v>37406.972869628611</v>
      </c>
      <c r="T92" s="375">
        <f>FS!T25</f>
        <v>41739.929533409733</v>
      </c>
      <c r="U92" s="375">
        <f>FS!U25</f>
        <v>46037.773195787639</v>
      </c>
      <c r="V92" s="375">
        <f>FS!V25</f>
        <v>50341.131485191538</v>
      </c>
      <c r="W92" s="375">
        <f>FS!W25</f>
        <v>54684.061790501735</v>
      </c>
      <c r="X92" s="375">
        <f>FS!X25</f>
        <v>56457.348025801839</v>
      </c>
      <c r="Y92" s="375">
        <f>FS!Y25</f>
        <v>57019.223484038295</v>
      </c>
      <c r="Z92" s="375">
        <f>FS!Z25</f>
        <v>61017.754974566087</v>
      </c>
      <c r="AA92" s="375">
        <f>FS!AA25</f>
        <v>65179.463649818019</v>
      </c>
      <c r="AB92" s="375">
        <f>FS!AB25</f>
        <v>69511.968392408991</v>
      </c>
      <c r="AC92" s="375">
        <f>FS!AC25</f>
        <v>84580.773855251624</v>
      </c>
      <c r="AD92" s="375">
        <f>FS!AD25</f>
        <v>87268.408328181016</v>
      </c>
      <c r="AE92" s="375">
        <f>FS!AE25</f>
        <v>90031.506558226305</v>
      </c>
      <c r="AF92" s="375">
        <f>FS!AF25</f>
        <v>92872.170398124174</v>
      </c>
      <c r="AG92" s="375">
        <f>FS!AG25</f>
        <v>95792.559772787092</v>
      </c>
    </row>
    <row r="94" spans="3:33" ht="15" customHeight="1">
      <c r="C94" s="87" t="s">
        <v>857</v>
      </c>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row>
    <row r="95" spans="3:33" ht="15" customHeight="1">
      <c r="E95" s="88" t="s">
        <v>858</v>
      </c>
      <c r="K95" s="375">
        <f>FS!K38</f>
        <v>0</v>
      </c>
      <c r="L95" s="375">
        <f>FS!L38</f>
        <v>0</v>
      </c>
      <c r="M95" s="375">
        <f>FS!M38</f>
        <v>-1.4551915228366852E-11</v>
      </c>
      <c r="N95" s="375">
        <f>FS!N38</f>
        <v>31540.320083005783</v>
      </c>
      <c r="O95" s="375">
        <f>FS!O38</f>
        <v>65246.351443439671</v>
      </c>
      <c r="P95" s="375">
        <f>FS!P38</f>
        <v>100955.1322402739</v>
      </c>
      <c r="Q95" s="375">
        <f>FS!Q38</f>
        <v>138723.0697421112</v>
      </c>
      <c r="R95" s="375">
        <f>FS!R38</f>
        <v>178608.14712507231</v>
      </c>
      <c r="S95" s="375">
        <f>FS!S38</f>
        <v>220669.96714783562</v>
      </c>
      <c r="T95" s="375">
        <f>FS!T38</f>
        <v>264969.79702737433</v>
      </c>
      <c r="U95" s="375">
        <f>FS!U38</f>
        <v>311570.61454812915</v>
      </c>
      <c r="V95" s="375">
        <f>FS!V38</f>
        <v>360537.15543824021</v>
      </c>
      <c r="W95" s="375">
        <f>FS!W38</f>
        <v>411935.96204736986</v>
      </c>
      <c r="X95" s="375">
        <f>FS!X38</f>
        <v>463197.33570655895</v>
      </c>
      <c r="Y95" s="375">
        <f>FS!Y38</f>
        <v>513086.89331765869</v>
      </c>
      <c r="Z95" s="375">
        <f>FS!Z38</f>
        <v>564998.60877365759</v>
      </c>
      <c r="AA95" s="375">
        <f>FS!AA38</f>
        <v>619035.75108853146</v>
      </c>
      <c r="AB95" s="375">
        <f>FS!AB38</f>
        <v>675293.88166834763</v>
      </c>
      <c r="AC95" s="375">
        <f>FS!AC38</f>
        <v>770692.82034602982</v>
      </c>
      <c r="AD95" s="375">
        <f>FS!AD38</f>
        <v>868686.560701999</v>
      </c>
      <c r="AE95" s="375">
        <f>FS!AE38</f>
        <v>969369.03835934796</v>
      </c>
      <c r="AF95" s="375">
        <f>FS!AF38</f>
        <v>1072832.5939393635</v>
      </c>
      <c r="AG95" s="375">
        <f>FS!AG38</f>
        <v>1179168.7704492477</v>
      </c>
    </row>
    <row r="97" spans="3:33" ht="15" customHeight="1">
      <c r="C97" s="87" t="s">
        <v>859</v>
      </c>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row>
    <row r="98" spans="3:33" ht="15" customHeight="1">
      <c r="E98" s="88" t="s">
        <v>860</v>
      </c>
      <c r="K98" s="375">
        <f>FS!K72</f>
        <v>0</v>
      </c>
      <c r="L98" s="375">
        <f>FS!L72</f>
        <v>-247913.32984319999</v>
      </c>
      <c r="M98" s="375">
        <f>FS!M72</f>
        <v>-500784.92628326395</v>
      </c>
      <c r="N98" s="375">
        <f>FS!N72</f>
        <v>-435274.07290603063</v>
      </c>
      <c r="O98" s="375">
        <f>FS!O72</f>
        <v>-367990.3993714783</v>
      </c>
      <c r="P98" s="375">
        <f>FS!P72</f>
        <v>-298883.96334180352</v>
      </c>
      <c r="Q98" s="375">
        <f>FS!Q72</f>
        <v>-227903.42690909177</v>
      </c>
      <c r="R98" s="375">
        <f>FS!R72</f>
        <v>-154996.01791112521</v>
      </c>
      <c r="S98" s="375">
        <f>FS!S72</f>
        <v>-80107.49018352144</v>
      </c>
      <c r="T98" s="375">
        <f>FS!T72</f>
        <v>-3182.0827191960416</v>
      </c>
      <c r="U98" s="375">
        <f>FS!U72</f>
        <v>75837.522294641545</v>
      </c>
      <c r="V98" s="375">
        <f>FS!V72</f>
        <v>157010.24259255518</v>
      </c>
      <c r="W98" s="375">
        <f>FS!W72</f>
        <v>240396.64013143495</v>
      </c>
      <c r="X98" s="375">
        <f>FS!X72</f>
        <v>326058.96660780808</v>
      </c>
      <c r="Y98" s="375">
        <f>FS!Y72</f>
        <v>414061.21022505098</v>
      </c>
      <c r="Z98" s="375">
        <f>FS!Z72</f>
        <v>504469.1437445411</v>
      </c>
      <c r="AA98" s="375">
        <f>FS!AA72</f>
        <v>597350.37385570572</v>
      </c>
      <c r="AB98" s="375">
        <f>FS!AB72</f>
        <v>692774.39190086932</v>
      </c>
      <c r="AC98" s="375">
        <f>FS!AC72</f>
        <v>789254.96359176806</v>
      </c>
      <c r="AD98" s="375">
        <f>FS!AD72</f>
        <v>888423.16975559609</v>
      </c>
      <c r="AE98" s="375">
        <f>FS!AE72</f>
        <v>990354.4741494694</v>
      </c>
      <c r="AF98" s="375">
        <f>FS!AF72</f>
        <v>1095126.4423832407</v>
      </c>
      <c r="AG98" s="375">
        <f>FS!AG72</f>
        <v>1202818.7999916747</v>
      </c>
    </row>
    <row r="100" spans="3:33" ht="15" customHeight="1">
      <c r="C100" s="87" t="s">
        <v>861</v>
      </c>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row>
    <row r="101" spans="3:33" ht="15" customHeight="1">
      <c r="E101" s="88" t="s">
        <v>726</v>
      </c>
      <c r="K101" s="376">
        <f>Financing!K60</f>
        <v>0</v>
      </c>
      <c r="L101" s="376">
        <f>Financing!L60</f>
        <v>0</v>
      </c>
      <c r="M101" s="376">
        <f>Financing!M60</f>
        <v>0</v>
      </c>
      <c r="N101" s="376">
        <f>Financing!N60</f>
        <v>1.8625217334040105</v>
      </c>
      <c r="O101" s="376">
        <f>Financing!O60</f>
        <v>1.9154173743643472</v>
      </c>
      <c r="P101" s="376">
        <f>Financing!P60</f>
        <v>1.9698031450246793</v>
      </c>
      <c r="Q101" s="376">
        <f>Financing!Q60</f>
        <v>2.025720685015076</v>
      </c>
      <c r="R101" s="376">
        <f>Financing!R60</f>
        <v>2.0832127881859792</v>
      </c>
      <c r="S101" s="376">
        <f>Financing!S60</f>
        <v>2.1423234343449007</v>
      </c>
      <c r="T101" s="376">
        <f>Financing!T60</f>
        <v>2.2030978218586057</v>
      </c>
      <c r="U101" s="376">
        <f>Financing!U60</f>
        <v>2.2655824011441519</v>
      </c>
      <c r="V101" s="376">
        <f>Financing!V60</f>
        <v>2.3298249090728373</v>
      </c>
      <c r="W101" s="376">
        <f>Financing!W60</f>
        <v>2.3958744043117068</v>
      </c>
      <c r="X101" s="376">
        <f>Financing!X60</f>
        <v>2.3921525386457514</v>
      </c>
      <c r="Y101" s="376">
        <f>Financing!Y60</f>
        <v>2.354915369957836</v>
      </c>
      <c r="Z101" s="376">
        <f>Financing!Z60</f>
        <v>2.4098305402040836</v>
      </c>
      <c r="AA101" s="376">
        <f>Financing!AA60</f>
        <v>2.4675499127579648</v>
      </c>
      <c r="AB101" s="376">
        <f>Financing!AB60</f>
        <v>2.5278642196123786</v>
      </c>
      <c r="AC101" s="376">
        <f>Financing!AC60</f>
        <v>0</v>
      </c>
      <c r="AD101" s="376">
        <f>Financing!AD60</f>
        <v>0</v>
      </c>
      <c r="AE101" s="376">
        <f>Financing!AE60</f>
        <v>0</v>
      </c>
      <c r="AF101" s="376">
        <f>Financing!AF60</f>
        <v>0</v>
      </c>
      <c r="AG101" s="376">
        <f>Financing!AG60</f>
        <v>0</v>
      </c>
    </row>
    <row r="102" spans="3:33" ht="15" customHeight="1">
      <c r="E102" s="88" t="s">
        <v>862</v>
      </c>
      <c r="K102" s="376">
        <f>Financing!$G$61</f>
        <v>1.3</v>
      </c>
      <c r="L102" s="376">
        <f>Financing!$G$61</f>
        <v>1.3</v>
      </c>
      <c r="M102" s="376">
        <f>Financing!$G$61</f>
        <v>1.3</v>
      </c>
      <c r="N102" s="376">
        <f>Financing!$G$61</f>
        <v>1.3</v>
      </c>
      <c r="O102" s="376">
        <f>Financing!$G$61</f>
        <v>1.3</v>
      </c>
      <c r="P102" s="376">
        <f>Financing!$G$61</f>
        <v>1.3</v>
      </c>
      <c r="Q102" s="376">
        <f>Financing!$G$61</f>
        <v>1.3</v>
      </c>
      <c r="R102" s="376">
        <f>Financing!$G$61</f>
        <v>1.3</v>
      </c>
      <c r="S102" s="376">
        <f>Financing!$G$61</f>
        <v>1.3</v>
      </c>
      <c r="T102" s="376">
        <f>Financing!$G$61</f>
        <v>1.3</v>
      </c>
      <c r="U102" s="376">
        <f>Financing!$G$61</f>
        <v>1.3</v>
      </c>
      <c r="V102" s="376">
        <f>Financing!$G$61</f>
        <v>1.3</v>
      </c>
      <c r="W102" s="376">
        <f>Financing!$G$61</f>
        <v>1.3</v>
      </c>
      <c r="X102" s="376">
        <f>Financing!$G$61</f>
        <v>1.3</v>
      </c>
      <c r="Y102" s="376">
        <f>Financing!$G$61</f>
        <v>1.3</v>
      </c>
      <c r="Z102" s="376">
        <f>Financing!$G$61</f>
        <v>1.3</v>
      </c>
      <c r="AA102" s="376">
        <f>Financing!$G$61</f>
        <v>1.3</v>
      </c>
      <c r="AB102" s="376">
        <f>Financing!$G$61</f>
        <v>1.3</v>
      </c>
      <c r="AC102" s="376">
        <f>Financing!$G$61</f>
        <v>1.3</v>
      </c>
      <c r="AD102" s="376">
        <f>Financing!$G$61</f>
        <v>1.3</v>
      </c>
      <c r="AE102" s="376">
        <f>Financing!$G$61</f>
        <v>1.3</v>
      </c>
      <c r="AF102" s="376">
        <f>Financing!$G$61</f>
        <v>1.3</v>
      </c>
      <c r="AG102" s="376">
        <f>Financing!$G$61</f>
        <v>1.3</v>
      </c>
    </row>
  </sheetData>
  <sheetProtection algorithmName="SHA-512" hashValue="FIbTiAbKuNP3lwJjWMZZ2FSXyYzgT7qG814UA/jIuElntCPPpKy2CFIpReP9LekTz3kfcUDY19mLcPidiy9RlA==" saltValue="HqrgLUhFDfyERMX4MFL+yQ==" spinCount="100000" sheet="1" objects="1" scenarios="1"/>
  <pageMargins left="0.75" right="0.75" top="1" bottom="1"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24913e1-4785-4346-b76e-bc2c4b5b73b0" xsi:nil="true"/>
    <lcf76f155ced4ddcb4097134ff3c332f xmlns="2a892fd3-9673-4284-81db-cebba583361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9B4E7B5414A148A2B81C90321B3F59" ma:contentTypeVersion="14" ma:contentTypeDescription="Create a new document." ma:contentTypeScope="" ma:versionID="ebb02d74da0881b724d99735e9758138">
  <xsd:schema xmlns:xsd="http://www.w3.org/2001/XMLSchema" xmlns:xs="http://www.w3.org/2001/XMLSchema" xmlns:p="http://schemas.microsoft.com/office/2006/metadata/properties" xmlns:ns2="2a892fd3-9673-4284-81db-cebba583361a" xmlns:ns3="624913e1-4785-4346-b76e-bc2c4b5b73b0" targetNamespace="http://schemas.microsoft.com/office/2006/metadata/properties" ma:root="true" ma:fieldsID="dc3d31d045adae4aebd0177a0e94b8d6" ns2:_="" ns3:_="">
    <xsd:import namespace="2a892fd3-9673-4284-81db-cebba583361a"/>
    <xsd:import namespace="624913e1-4785-4346-b76e-bc2c4b5b73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892fd3-9673-4284-81db-cebba5833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65529b3-693a-41aa-b0bf-d4da65b6367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913e1-4785-4346-b76e-bc2c4b5b73b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d6cd89a-fdca-4bfc-8c34-77aedb259418}" ma:internalName="TaxCatchAll" ma:showField="CatchAllData" ma:web="624913e1-4785-4346-b76e-bc2c4b5b73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8CC4C8-FCBB-4ACC-A8C7-53089B6F1785}"/>
</file>

<file path=customXml/itemProps2.xml><?xml version="1.0" encoding="utf-8"?>
<ds:datastoreItem xmlns:ds="http://schemas.openxmlformats.org/officeDocument/2006/customXml" ds:itemID="{3794D931-44DE-4DEC-86FB-9AADD40135C4}"/>
</file>

<file path=customXml/itemProps3.xml><?xml version="1.0" encoding="utf-8"?>
<ds:datastoreItem xmlns:ds="http://schemas.openxmlformats.org/officeDocument/2006/customXml" ds:itemID="{3D69B02C-AD51-4D15-99AC-C43E65DF4C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Shedrack Mwiine</dc:creator>
  <cp:keywords/>
  <dc:description/>
  <cp:lastModifiedBy/>
  <cp:revision>30</cp:revision>
  <dcterms:created xsi:type="dcterms:W3CDTF">2026-08-03T14:08:59Z</dcterms:created>
  <dcterms:modified xsi:type="dcterms:W3CDTF">2026-09-21T11:59:12Z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0x010100909B4E7B5414A148A2B81C90321B3F59</vt:lpwstr>
  </property>
  <property fmtid="{D5CDD505-2E9C-101B-9397-08002B2CF9AE}" pid="3" name="MediaServiceImageTags">
    <vt:lpwstr/>
  </property>
  <property fmtid="{D5CDD505-2E9C-101B-9397-08002B2CF9AE}" pid="4" name="Tags">
    <vt:lpwstr/>
  </property>
</Properties>
</file>